
<file path=[Content_Types].xml><?xml version="1.0" encoding="utf-8"?>
<Types xmlns="http://schemas.openxmlformats.org/package/2006/content-type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mc:AlternateContent xmlns:mc="http://schemas.openxmlformats.org/markup-compatibility/2006">
    <mc:Choice Requires="x15">
      <x15ac:absPath xmlns:x15ac="http://schemas.microsoft.com/office/spreadsheetml/2010/11/ac" url="C:\Users\YOGA\Downloads\"/>
    </mc:Choice>
  </mc:AlternateContent>
  <xr:revisionPtr revIDLastSave="0" documentId="13_ncr:1_{02A09667-8EA1-4D6F-8A45-8BA0F138D6B7}" xr6:coauthVersionLast="47" xr6:coauthVersionMax="47" xr10:uidLastSave="{00000000-0000-0000-0000-000000000000}"/>
  <bookViews>
    <workbookView xWindow="-110" yWindow="-110" windowWidth="19420" windowHeight="10300" tabRatio="752" xr2:uid="{C798D37E-1E6E-4A6C-B01C-E01D5D705C03}"/>
  </bookViews>
  <sheets>
    <sheet name="DIRECTORIO DE CONTRATISTAS" sheetId="107" r:id="rId1"/>
    <sheet name="INCAPACIDADES" sheetId="52" state="hidden" r:id="rId2"/>
    <sheet name="BS" sheetId="46" state="hidden" r:id="rId3"/>
    <sheet name="Vac2012" sheetId="70" state="hidden" r:id="rId4"/>
    <sheet name="Hoja1" sheetId="76" state="hidden" r:id="rId5"/>
    <sheet name="Ahorro AFC" sheetId="47" state="hidden" r:id="rId6"/>
    <sheet name="Pen Vol" sheetId="77" state="hidden" r:id="rId7"/>
    <sheet name="Retefuente" sheetId="72" state="hidden" r:id="rId8"/>
    <sheet name="RETENCION EN LA FUENTE" sheetId="7" state="hidden" r:id="rId9"/>
  </sheets>
  <externalReferences>
    <externalReference r:id="rId10"/>
  </externalReferences>
  <definedNames>
    <definedName name="_xlnm._FilterDatabase" localSheetId="7" hidden="1">Retefuente!$A$49:$BG$79</definedName>
    <definedName name="_xlnm.Print_Area" localSheetId="5">'Ahorro AFC'!$A$1:$F$23</definedName>
    <definedName name="_xlnm.Print_Area" localSheetId="2">BS!$A$1:$I$25</definedName>
    <definedName name="_xlnm.Print_Area" localSheetId="1">INCAPACIDADES!$A$1:$K$24</definedName>
    <definedName name="_xlnm.Print_Area" localSheetId="8">'RETENCION EN LA FUENTE'!$A$1:$J$187</definedName>
    <definedName name="_xlnm.Print_Area" localSheetId="3">'Vac2012'!$B$1:$E$43</definedName>
    <definedName name="PAOLA">#REF!</definedName>
    <definedName name="rangos">Retefuente!$D$46</definedName>
    <definedName name="RUBRO">[1]Rubros!$A$1:$A$106</definedName>
    <definedName name="soldados">#REF!</definedName>
    <definedName name="SUB_TRANSPORTE" localSheetId="3">#REF!</definedName>
    <definedName name="SUB_TRANSPORTE">#REF!</definedName>
    <definedName name="SUBTRANS" localSheetId="3">#REF!</definedName>
    <definedName name="SUBTRANS">#REF!</definedName>
    <definedName name="_xlnm.Print_Titles" localSheetId="8">'RETENCION EN LA FUENTE'!$1:$4</definedName>
    <definedName name="UVT">Retefuente!$E$46</definedName>
    <definedName name="VACANTES" localSheetId="3">#REF!</definedName>
    <definedName name="VACANTES">#REF!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3" i="7" l="1"/>
  <c r="A5" i="7"/>
  <c r="C8" i="7"/>
  <c r="H8" i="7"/>
  <c r="H10" i="7"/>
  <c r="B10" i="7"/>
  <c r="C10" i="7"/>
  <c r="G10" i="7"/>
  <c r="C11" i="7"/>
  <c r="D11" i="7"/>
  <c r="H11" i="7"/>
  <c r="C12" i="7"/>
  <c r="H12" i="7"/>
  <c r="B14" i="7"/>
  <c r="C14" i="7"/>
  <c r="G14" i="7"/>
  <c r="B15" i="7"/>
  <c r="G15" i="7"/>
  <c r="B16" i="7"/>
  <c r="G16" i="7"/>
  <c r="D18" i="7"/>
  <c r="M18" i="7"/>
  <c r="D19" i="7"/>
  <c r="I19" i="7"/>
  <c r="K20" i="7"/>
  <c r="N26" i="7"/>
  <c r="F29" i="7"/>
  <c r="C32" i="7"/>
  <c r="C34" i="7"/>
  <c r="H32" i="7"/>
  <c r="B34" i="7"/>
  <c r="G34" i="7"/>
  <c r="H34" i="7"/>
  <c r="C35" i="7"/>
  <c r="H35" i="7"/>
  <c r="C36" i="7"/>
  <c r="H36" i="7"/>
  <c r="B38" i="7"/>
  <c r="G38" i="7"/>
  <c r="H38" i="7"/>
  <c r="B39" i="7"/>
  <c r="G39" i="7"/>
  <c r="H39" i="7"/>
  <c r="H40" i="7"/>
  <c r="B40" i="7"/>
  <c r="G40" i="7"/>
  <c r="I40" i="7" s="1"/>
  <c r="I41" i="7" s="1"/>
  <c r="C42" i="7"/>
  <c r="D43" i="7"/>
  <c r="I43" i="7"/>
  <c r="G48" i="7"/>
  <c r="A52" i="7"/>
  <c r="C55" i="7"/>
  <c r="B57" i="7"/>
  <c r="C57" i="7"/>
  <c r="G57" i="7"/>
  <c r="H57" i="7"/>
  <c r="C58" i="7"/>
  <c r="H58" i="7"/>
  <c r="C59" i="7"/>
  <c r="H59" i="7"/>
  <c r="B61" i="7"/>
  <c r="C61" i="7"/>
  <c r="G61" i="7"/>
  <c r="H61" i="7"/>
  <c r="H62" i="7"/>
  <c r="H63" i="7"/>
  <c r="B62" i="7"/>
  <c r="C62" i="7"/>
  <c r="C63" i="7"/>
  <c r="G62" i="7"/>
  <c r="B63" i="7"/>
  <c r="D63" i="7" s="1"/>
  <c r="D64" i="7" s="1"/>
  <c r="G63" i="7"/>
  <c r="I63" i="7" s="1"/>
  <c r="I64" i="7" s="1"/>
  <c r="D66" i="7"/>
  <c r="E66" i="7"/>
  <c r="D65" i="7" s="1"/>
  <c r="I66" i="7"/>
  <c r="G70" i="7"/>
  <c r="B71" i="7"/>
  <c r="F76" i="7"/>
  <c r="C79" i="7"/>
  <c r="H79" i="7"/>
  <c r="B81" i="7"/>
  <c r="C81" i="7"/>
  <c r="G81" i="7"/>
  <c r="H81" i="7"/>
  <c r="C82" i="7"/>
  <c r="H82" i="7"/>
  <c r="C83" i="7"/>
  <c r="H83" i="7"/>
  <c r="B85" i="7"/>
  <c r="C85" i="7"/>
  <c r="C86" i="7"/>
  <c r="C87" i="7"/>
  <c r="G85" i="7"/>
  <c r="H85" i="7"/>
  <c r="B86" i="7"/>
  <c r="G86" i="7"/>
  <c r="H86" i="7"/>
  <c r="H87" i="7"/>
  <c r="B87" i="7"/>
  <c r="D87" i="7" s="1"/>
  <c r="D88" i="7" s="1"/>
  <c r="G87" i="7"/>
  <c r="I87" i="7" s="1"/>
  <c r="N89" i="7"/>
  <c r="O89" i="7"/>
  <c r="P89" i="7"/>
  <c r="D90" i="7"/>
  <c r="I90" i="7"/>
  <c r="G94" i="7"/>
  <c r="A99" i="7"/>
  <c r="F99" i="7"/>
  <c r="C102" i="7"/>
  <c r="H102" i="7"/>
  <c r="B104" i="7"/>
  <c r="C104" i="7"/>
  <c r="G104" i="7"/>
  <c r="H104" i="7"/>
  <c r="C105" i="7"/>
  <c r="H105" i="7"/>
  <c r="C106" i="7"/>
  <c r="H106" i="7"/>
  <c r="B108" i="7"/>
  <c r="G108" i="7"/>
  <c r="H108" i="7"/>
  <c r="B109" i="7"/>
  <c r="G109" i="7"/>
  <c r="H109" i="7"/>
  <c r="H110" i="7"/>
  <c r="B110" i="7"/>
  <c r="G110" i="7"/>
  <c r="I110" i="7" s="1"/>
  <c r="I111" i="7" s="1"/>
  <c r="K112" i="7"/>
  <c r="D113" i="7"/>
  <c r="I113" i="7"/>
  <c r="B117" i="7"/>
  <c r="G117" i="7"/>
  <c r="A121" i="7"/>
  <c r="F121" i="7"/>
  <c r="C124" i="7"/>
  <c r="H124" i="7"/>
  <c r="B126" i="7"/>
  <c r="C126" i="7"/>
  <c r="G126" i="7"/>
  <c r="H126" i="7"/>
  <c r="C127" i="7"/>
  <c r="H127" i="7"/>
  <c r="C128" i="7"/>
  <c r="H128" i="7"/>
  <c r="B130" i="7"/>
  <c r="C130" i="7"/>
  <c r="G130" i="7"/>
  <c r="B131" i="7"/>
  <c r="C131" i="7"/>
  <c r="C132" i="7"/>
  <c r="G131" i="7"/>
  <c r="B132" i="7"/>
  <c r="D132" i="7" s="1"/>
  <c r="D133" i="7" s="1"/>
  <c r="G132" i="7"/>
  <c r="I134" i="7"/>
  <c r="D135" i="7"/>
  <c r="I135" i="7"/>
  <c r="B139" i="7"/>
  <c r="G139" i="7"/>
  <c r="A144" i="7"/>
  <c r="F144" i="7"/>
  <c r="C147" i="7"/>
  <c r="H147" i="7"/>
  <c r="B149" i="7"/>
  <c r="C149" i="7"/>
  <c r="G149" i="7"/>
  <c r="H149" i="7"/>
  <c r="C150" i="7"/>
  <c r="C151" i="7"/>
  <c r="B153" i="7"/>
  <c r="C153" i="7"/>
  <c r="G153" i="7"/>
  <c r="H153" i="7"/>
  <c r="B154" i="7"/>
  <c r="C154" i="7"/>
  <c r="G154" i="7"/>
  <c r="H154" i="7"/>
  <c r="B155" i="7"/>
  <c r="C155" i="7"/>
  <c r="D155" i="7"/>
  <c r="G155" i="7"/>
  <c r="H155" i="7"/>
  <c r="I155" i="7"/>
  <c r="K155" i="7"/>
  <c r="D156" i="7"/>
  <c r="I156" i="7"/>
  <c r="K156" i="7"/>
  <c r="H134" i="7" s="1"/>
  <c r="I157" i="7"/>
  <c r="D158" i="7"/>
  <c r="K158" i="7"/>
  <c r="D159" i="7"/>
  <c r="I159" i="7"/>
  <c r="L160" i="7"/>
  <c r="B162" i="7"/>
  <c r="G162" i="7"/>
  <c r="E163" i="7"/>
  <c r="J163" i="7"/>
  <c r="E164" i="7"/>
  <c r="B163" i="7"/>
  <c r="C163" i="7"/>
  <c r="C164" i="7"/>
  <c r="D164" i="7"/>
  <c r="J164" i="7"/>
  <c r="G163" i="7"/>
  <c r="H163" i="7"/>
  <c r="H164" i="7"/>
  <c r="I164" i="7"/>
  <c r="L164" i="7"/>
  <c r="A167" i="7"/>
  <c r="F167" i="7"/>
  <c r="C170" i="7"/>
  <c r="H170" i="7"/>
  <c r="B172" i="7"/>
  <c r="C172" i="7"/>
  <c r="G172" i="7"/>
  <c r="H172" i="7"/>
  <c r="C173" i="7"/>
  <c r="H173" i="7"/>
  <c r="C174" i="7"/>
  <c r="H174" i="7"/>
  <c r="B176" i="7"/>
  <c r="C176" i="7"/>
  <c r="G176" i="7"/>
  <c r="H176" i="7"/>
  <c r="B177" i="7"/>
  <c r="C177" i="7"/>
  <c r="G177" i="7"/>
  <c r="H177" i="7"/>
  <c r="B178" i="7"/>
  <c r="C178" i="7"/>
  <c r="D178" i="7"/>
  <c r="G178" i="7"/>
  <c r="H178" i="7"/>
  <c r="I178" i="7"/>
  <c r="D179" i="7"/>
  <c r="I179" i="7"/>
  <c r="I180" i="7"/>
  <c r="D181" i="7"/>
  <c r="I181" i="7"/>
  <c r="D182" i="7"/>
  <c r="I182" i="7"/>
  <c r="B185" i="7"/>
  <c r="G185" i="7"/>
  <c r="E186" i="7"/>
  <c r="J186" i="7"/>
  <c r="E187" i="7"/>
  <c r="B186" i="7"/>
  <c r="C186" i="7"/>
  <c r="C187" i="7"/>
  <c r="D187" i="7"/>
  <c r="J187" i="7"/>
  <c r="G186" i="7"/>
  <c r="H186" i="7"/>
  <c r="H187" i="7"/>
  <c r="I187" i="7"/>
  <c r="L187" i="7"/>
  <c r="A189" i="7"/>
  <c r="F189" i="7"/>
  <c r="C192" i="7"/>
  <c r="H192" i="7"/>
  <c r="B194" i="7"/>
  <c r="C194" i="7"/>
  <c r="G194" i="7"/>
  <c r="H194" i="7"/>
  <c r="C195" i="7"/>
  <c r="H195" i="7"/>
  <c r="C196" i="7"/>
  <c r="H196" i="7"/>
  <c r="B198" i="7"/>
  <c r="C198" i="7"/>
  <c r="G198" i="7"/>
  <c r="H198" i="7"/>
  <c r="B199" i="7"/>
  <c r="C199" i="7"/>
  <c r="G199" i="7"/>
  <c r="H199" i="7"/>
  <c r="B200" i="7"/>
  <c r="C200" i="7"/>
  <c r="D200" i="7"/>
  <c r="G200" i="7"/>
  <c r="H200" i="7"/>
  <c r="I200" i="7"/>
  <c r="D201" i="7"/>
  <c r="I201" i="7"/>
  <c r="D202" i="7"/>
  <c r="D203" i="7"/>
  <c r="I203" i="7"/>
  <c r="D204" i="7"/>
  <c r="I204" i="7"/>
  <c r="J208" i="7"/>
  <c r="J209" i="7"/>
  <c r="G208" i="7"/>
  <c r="H208" i="7"/>
  <c r="H209" i="7"/>
  <c r="I209" i="7"/>
  <c r="B207" i="7"/>
  <c r="G207" i="7"/>
  <c r="E208" i="7"/>
  <c r="E209" i="7"/>
  <c r="B208" i="7"/>
  <c r="C208" i="7"/>
  <c r="C209" i="7"/>
  <c r="D209" i="7"/>
  <c r="A213" i="7"/>
  <c r="F213" i="7"/>
  <c r="C216" i="7"/>
  <c r="H216" i="7"/>
  <c r="B218" i="7"/>
  <c r="C218" i="7"/>
  <c r="G218" i="7"/>
  <c r="H218" i="7"/>
  <c r="C219" i="7"/>
  <c r="H219" i="7"/>
  <c r="C220" i="7"/>
  <c r="H220" i="7"/>
  <c r="B222" i="7"/>
  <c r="C222" i="7"/>
  <c r="G222" i="7"/>
  <c r="H222" i="7"/>
  <c r="B223" i="7"/>
  <c r="C223" i="7"/>
  <c r="G223" i="7"/>
  <c r="H223" i="7"/>
  <c r="B224" i="7"/>
  <c r="C224" i="7"/>
  <c r="D224" i="7"/>
  <c r="G224" i="7"/>
  <c r="H224" i="7"/>
  <c r="I224" i="7"/>
  <c r="D225" i="7"/>
  <c r="I225" i="7"/>
  <c r="I226" i="7"/>
  <c r="D227" i="7"/>
  <c r="I227" i="7"/>
  <c r="D228" i="7"/>
  <c r="E232" i="7"/>
  <c r="E233" i="7"/>
  <c r="B232" i="7"/>
  <c r="C232" i="7"/>
  <c r="C233" i="7"/>
  <c r="D233" i="7"/>
  <c r="I228" i="7"/>
  <c r="B231" i="7"/>
  <c r="G231" i="7"/>
  <c r="H232" i="7"/>
  <c r="J232" i="7"/>
  <c r="I233" i="7"/>
  <c r="J233" i="7"/>
  <c r="A237" i="7"/>
  <c r="F237" i="7"/>
  <c r="C240" i="7"/>
  <c r="E240" i="7"/>
  <c r="H240" i="7"/>
  <c r="B242" i="7"/>
  <c r="C242" i="7"/>
  <c r="G242" i="7"/>
  <c r="H242" i="7"/>
  <c r="C243" i="7"/>
  <c r="H243" i="7"/>
  <c r="C244" i="7"/>
  <c r="H244" i="7"/>
  <c r="B246" i="7"/>
  <c r="C246" i="7"/>
  <c r="G246" i="7"/>
  <c r="H246" i="7"/>
  <c r="B247" i="7"/>
  <c r="C247" i="7"/>
  <c r="G247" i="7"/>
  <c r="H247" i="7"/>
  <c r="B248" i="7"/>
  <c r="C248" i="7"/>
  <c r="D248" i="7"/>
  <c r="D249" i="7"/>
  <c r="G248" i="7"/>
  <c r="H248" i="7"/>
  <c r="I248" i="7"/>
  <c r="I249" i="7"/>
  <c r="D250" i="7"/>
  <c r="I250" i="7"/>
  <c r="D251" i="7"/>
  <c r="I251" i="7"/>
  <c r="I252" i="7"/>
  <c r="B255" i="7"/>
  <c r="G255" i="7"/>
  <c r="H256" i="7"/>
  <c r="J256" i="7"/>
  <c r="I257" i="7"/>
  <c r="J257" i="7"/>
  <c r="A4" i="72"/>
  <c r="A50" i="72"/>
  <c r="C4" i="72"/>
  <c r="C50" i="72"/>
  <c r="E4" i="72"/>
  <c r="F4" i="72"/>
  <c r="H4" i="72"/>
  <c r="J4" i="72"/>
  <c r="K4" i="72"/>
  <c r="L4" i="72"/>
  <c r="M4" i="72"/>
  <c r="N4" i="72"/>
  <c r="O4" i="72"/>
  <c r="P4" i="72"/>
  <c r="Q4" i="72"/>
  <c r="R4" i="72"/>
  <c r="T4" i="72"/>
  <c r="V4" i="72"/>
  <c r="W4" i="72"/>
  <c r="AA4" i="72"/>
  <c r="AB4" i="72"/>
  <c r="AC4" i="72"/>
  <c r="AG4" i="72"/>
  <c r="AH4" i="72"/>
  <c r="AI4" i="72"/>
  <c r="AO4" i="72"/>
  <c r="AP4" i="72"/>
  <c r="AV4" i="72"/>
  <c r="AW4" i="72"/>
  <c r="AX4" i="72"/>
  <c r="BB4" i="72"/>
  <c r="A5" i="72"/>
  <c r="A51" i="72"/>
  <c r="C5" i="72"/>
  <c r="C51" i="72"/>
  <c r="E5" i="72"/>
  <c r="F5" i="72"/>
  <c r="H5" i="72"/>
  <c r="J5" i="72"/>
  <c r="O5" i="72"/>
  <c r="K5" i="72"/>
  <c r="L5" i="72"/>
  <c r="M5" i="72"/>
  <c r="N5" i="72"/>
  <c r="V5" i="72"/>
  <c r="AA5" i="72"/>
  <c r="AB5" i="72"/>
  <c r="AG5" i="72"/>
  <c r="AH5" i="72"/>
  <c r="AI5" i="72"/>
  <c r="AO5" i="72"/>
  <c r="AP5" i="72"/>
  <c r="AV5" i="72"/>
  <c r="AW5" i="72"/>
  <c r="AX5" i="72"/>
  <c r="BB5" i="72"/>
  <c r="A6" i="72"/>
  <c r="A52" i="72"/>
  <c r="C6" i="72"/>
  <c r="C52" i="72"/>
  <c r="E6" i="72"/>
  <c r="F6" i="72"/>
  <c r="H6" i="72"/>
  <c r="J6" i="72"/>
  <c r="O6" i="72"/>
  <c r="K6" i="72"/>
  <c r="L6" i="72"/>
  <c r="M6" i="72"/>
  <c r="N6" i="72"/>
  <c r="T6" i="72"/>
  <c r="V6" i="72"/>
  <c r="AA6" i="72"/>
  <c r="AB6" i="72"/>
  <c r="AG6" i="72"/>
  <c r="AH6" i="72"/>
  <c r="AI6" i="72"/>
  <c r="AO6" i="72"/>
  <c r="AP6" i="72"/>
  <c r="AV6" i="72"/>
  <c r="AW6" i="72"/>
  <c r="AX6" i="72"/>
  <c r="BB6" i="72"/>
  <c r="A7" i="72"/>
  <c r="A53" i="72"/>
  <c r="C7" i="72"/>
  <c r="C53" i="72"/>
  <c r="E7" i="72"/>
  <c r="F7" i="72"/>
  <c r="H7" i="72"/>
  <c r="J7" i="72"/>
  <c r="O7" i="72"/>
  <c r="K7" i="72"/>
  <c r="L7" i="72"/>
  <c r="M7" i="72"/>
  <c r="N7" i="72"/>
  <c r="T7" i="72"/>
  <c r="V7" i="72"/>
  <c r="AA7" i="72"/>
  <c r="AB7" i="72"/>
  <c r="AG7" i="72"/>
  <c r="AH7" i="72"/>
  <c r="AI7" i="72"/>
  <c r="AO7" i="72"/>
  <c r="AP7" i="72"/>
  <c r="AV7" i="72"/>
  <c r="AW7" i="72"/>
  <c r="AX7" i="72"/>
  <c r="BB7" i="72"/>
  <c r="A8" i="72"/>
  <c r="A54" i="72"/>
  <c r="C8" i="72"/>
  <c r="C54" i="72"/>
  <c r="E8" i="72"/>
  <c r="F8" i="72"/>
  <c r="H8" i="72"/>
  <c r="J8" i="72"/>
  <c r="K8" i="72"/>
  <c r="L8" i="72"/>
  <c r="M8" i="72"/>
  <c r="N8" i="72"/>
  <c r="O8" i="72"/>
  <c r="P8" i="72"/>
  <c r="Q8" i="72"/>
  <c r="R8" i="72"/>
  <c r="S8" i="72"/>
  <c r="T8" i="72"/>
  <c r="V8" i="72"/>
  <c r="AA8" i="72"/>
  <c r="AB8" i="72"/>
  <c r="AG8" i="72"/>
  <c r="AH8" i="72"/>
  <c r="AI8" i="72"/>
  <c r="AO8" i="72"/>
  <c r="AP8" i="72"/>
  <c r="AV8" i="72"/>
  <c r="AW8" i="72"/>
  <c r="AX8" i="72"/>
  <c r="BB8" i="72"/>
  <c r="A9" i="72"/>
  <c r="A55" i="72"/>
  <c r="C9" i="72"/>
  <c r="C55" i="72"/>
  <c r="E9" i="72"/>
  <c r="F9" i="72"/>
  <c r="H9" i="72"/>
  <c r="J9" i="72"/>
  <c r="O9" i="72"/>
  <c r="K9" i="72"/>
  <c r="L9" i="72"/>
  <c r="M9" i="72"/>
  <c r="N9" i="72"/>
  <c r="P9" i="72"/>
  <c r="Q9" i="72"/>
  <c r="R9" i="72"/>
  <c r="S9" i="72"/>
  <c r="T9" i="72"/>
  <c r="V9" i="72"/>
  <c r="AA9" i="72"/>
  <c r="AB9" i="72"/>
  <c r="AG9" i="72"/>
  <c r="AH9" i="72"/>
  <c r="AI9" i="72"/>
  <c r="AO9" i="72"/>
  <c r="AP9" i="72"/>
  <c r="AV9" i="72"/>
  <c r="AW9" i="72"/>
  <c r="AX9" i="72"/>
  <c r="BB9" i="72"/>
  <c r="A10" i="72"/>
  <c r="A56" i="72"/>
  <c r="C10" i="72"/>
  <c r="C56" i="72"/>
  <c r="E10" i="72"/>
  <c r="F10" i="72"/>
  <c r="H10" i="72"/>
  <c r="J10" i="72"/>
  <c r="O10" i="72"/>
  <c r="K10" i="72"/>
  <c r="L10" i="72"/>
  <c r="M10" i="72"/>
  <c r="N10" i="72"/>
  <c r="P10" i="72"/>
  <c r="Q10" i="72"/>
  <c r="R10" i="72"/>
  <c r="S10" i="72"/>
  <c r="T10" i="72"/>
  <c r="V10" i="72"/>
  <c r="AA10" i="72"/>
  <c r="AB10" i="72"/>
  <c r="AG10" i="72"/>
  <c r="AH10" i="72"/>
  <c r="AI10" i="72"/>
  <c r="AO10" i="72"/>
  <c r="AP10" i="72"/>
  <c r="AV10" i="72"/>
  <c r="AW10" i="72"/>
  <c r="AX10" i="72"/>
  <c r="BB10" i="72"/>
  <c r="A11" i="72"/>
  <c r="A57" i="72"/>
  <c r="C11" i="72"/>
  <c r="C57" i="72"/>
  <c r="E11" i="72"/>
  <c r="F11" i="72"/>
  <c r="H11" i="72"/>
  <c r="J11" i="72"/>
  <c r="O11" i="72"/>
  <c r="K11" i="72"/>
  <c r="L11" i="72"/>
  <c r="M11" i="72"/>
  <c r="N11" i="72"/>
  <c r="T11" i="72"/>
  <c r="V11" i="72"/>
  <c r="AA11" i="72"/>
  <c r="AB11" i="72"/>
  <c r="AG11" i="72"/>
  <c r="AH11" i="72"/>
  <c r="AI11" i="72"/>
  <c r="AO11" i="72"/>
  <c r="AP11" i="72"/>
  <c r="AV11" i="72"/>
  <c r="AW11" i="72"/>
  <c r="AX11" i="72"/>
  <c r="BB11" i="72"/>
  <c r="A12" i="72"/>
  <c r="A58" i="72"/>
  <c r="C12" i="72"/>
  <c r="C58" i="72"/>
  <c r="E12" i="72"/>
  <c r="F12" i="72"/>
  <c r="H12" i="72"/>
  <c r="J12" i="72"/>
  <c r="K12" i="72"/>
  <c r="L12" i="72"/>
  <c r="M12" i="72"/>
  <c r="N12" i="72"/>
  <c r="O12" i="72"/>
  <c r="P12" i="72"/>
  <c r="Q12" i="72"/>
  <c r="R12" i="72"/>
  <c r="S12" i="72"/>
  <c r="T12" i="72"/>
  <c r="V12" i="72"/>
  <c r="AA12" i="72"/>
  <c r="AB12" i="72"/>
  <c r="AG12" i="72"/>
  <c r="AH12" i="72"/>
  <c r="AI12" i="72"/>
  <c r="AO12" i="72"/>
  <c r="AP12" i="72"/>
  <c r="AV12" i="72"/>
  <c r="AW12" i="72"/>
  <c r="AX12" i="72"/>
  <c r="BB12" i="72"/>
  <c r="A13" i="72"/>
  <c r="A59" i="72"/>
  <c r="C13" i="72"/>
  <c r="C59" i="72"/>
  <c r="E13" i="72"/>
  <c r="F13" i="72"/>
  <c r="H13" i="72"/>
  <c r="J13" i="72"/>
  <c r="O13" i="72"/>
  <c r="K13" i="72"/>
  <c r="L13" i="72"/>
  <c r="M13" i="72"/>
  <c r="N13" i="72"/>
  <c r="V13" i="72"/>
  <c r="AA13" i="72"/>
  <c r="AB13" i="72"/>
  <c r="AG13" i="72"/>
  <c r="AH13" i="72"/>
  <c r="AI13" i="72"/>
  <c r="AO13" i="72"/>
  <c r="AP13" i="72"/>
  <c r="AV13" i="72"/>
  <c r="AW13" i="72"/>
  <c r="AX13" i="72"/>
  <c r="BB13" i="72"/>
  <c r="A14" i="72"/>
  <c r="A60" i="72"/>
  <c r="C14" i="72"/>
  <c r="C60" i="72"/>
  <c r="E14" i="72"/>
  <c r="F14" i="72"/>
  <c r="H14" i="72"/>
  <c r="J14" i="72"/>
  <c r="O14" i="72"/>
  <c r="K14" i="72"/>
  <c r="L14" i="72"/>
  <c r="M14" i="72"/>
  <c r="N14" i="72"/>
  <c r="T14" i="72"/>
  <c r="V14" i="72"/>
  <c r="AA14" i="72"/>
  <c r="AB14" i="72"/>
  <c r="AG14" i="72"/>
  <c r="AH14" i="72"/>
  <c r="AI14" i="72"/>
  <c r="AO14" i="72"/>
  <c r="AP14" i="72"/>
  <c r="AV14" i="72"/>
  <c r="AW14" i="72"/>
  <c r="AX14" i="72"/>
  <c r="BB14" i="72"/>
  <c r="A15" i="72"/>
  <c r="A61" i="72"/>
  <c r="C15" i="72"/>
  <c r="C61" i="72"/>
  <c r="E15" i="72"/>
  <c r="F15" i="72"/>
  <c r="H15" i="72"/>
  <c r="J15" i="72"/>
  <c r="O15" i="72"/>
  <c r="K15" i="72"/>
  <c r="L15" i="72"/>
  <c r="M15" i="72"/>
  <c r="N15" i="72"/>
  <c r="P15" i="72"/>
  <c r="Q15" i="72"/>
  <c r="R15" i="72"/>
  <c r="S15" i="72"/>
  <c r="T15" i="72"/>
  <c r="V15" i="72"/>
  <c r="AA15" i="72"/>
  <c r="AB15" i="72"/>
  <c r="AG15" i="72"/>
  <c r="AH15" i="72"/>
  <c r="AI15" i="72"/>
  <c r="AO15" i="72"/>
  <c r="AP15" i="72"/>
  <c r="AV15" i="72"/>
  <c r="AW15" i="72"/>
  <c r="AX15" i="72"/>
  <c r="BB15" i="72"/>
  <c r="A16" i="72"/>
  <c r="A62" i="72"/>
  <c r="C16" i="72"/>
  <c r="C62" i="72"/>
  <c r="E16" i="72"/>
  <c r="F16" i="72"/>
  <c r="H16" i="72"/>
  <c r="J16" i="72"/>
  <c r="O16" i="72"/>
  <c r="K16" i="72"/>
  <c r="L16" i="72"/>
  <c r="M16" i="72"/>
  <c r="N16" i="72"/>
  <c r="P16" i="72"/>
  <c r="Q16" i="72"/>
  <c r="R16" i="72"/>
  <c r="S16" i="72"/>
  <c r="T16" i="72"/>
  <c r="V16" i="72"/>
  <c r="AA16" i="72"/>
  <c r="AB16" i="72"/>
  <c r="AG16" i="72"/>
  <c r="AH16" i="72"/>
  <c r="AI16" i="72"/>
  <c r="AO16" i="72"/>
  <c r="AP16" i="72"/>
  <c r="AV16" i="72"/>
  <c r="AW16" i="72"/>
  <c r="AX16" i="72"/>
  <c r="BB16" i="72"/>
  <c r="A17" i="72"/>
  <c r="A63" i="72"/>
  <c r="C17" i="72"/>
  <c r="C63" i="72"/>
  <c r="E17" i="72"/>
  <c r="F17" i="72"/>
  <c r="H17" i="72"/>
  <c r="J17" i="72"/>
  <c r="K17" i="72"/>
  <c r="L17" i="72"/>
  <c r="M17" i="72"/>
  <c r="N17" i="72"/>
  <c r="O17" i="72"/>
  <c r="V17" i="72"/>
  <c r="AA17" i="72"/>
  <c r="AB17" i="72"/>
  <c r="AG17" i="72"/>
  <c r="AH17" i="72"/>
  <c r="AI17" i="72"/>
  <c r="AO17" i="72"/>
  <c r="AP17" i="72"/>
  <c r="AV17" i="72"/>
  <c r="AW17" i="72"/>
  <c r="AX17" i="72"/>
  <c r="BB17" i="72"/>
  <c r="A18" i="72"/>
  <c r="A64" i="72"/>
  <c r="C18" i="72"/>
  <c r="C64" i="72"/>
  <c r="E18" i="72"/>
  <c r="F18" i="72"/>
  <c r="H18" i="72"/>
  <c r="J18" i="72"/>
  <c r="O18" i="72"/>
  <c r="K18" i="72"/>
  <c r="L18" i="72"/>
  <c r="M18" i="72"/>
  <c r="N18" i="72"/>
  <c r="P18" i="72"/>
  <c r="Q18" i="72"/>
  <c r="R18" i="72"/>
  <c r="S18" i="72"/>
  <c r="T18" i="72"/>
  <c r="V18" i="72"/>
  <c r="AA18" i="72"/>
  <c r="AB18" i="72"/>
  <c r="AG18" i="72"/>
  <c r="AH18" i="72"/>
  <c r="AI18" i="72"/>
  <c r="AO18" i="72"/>
  <c r="AP18" i="72"/>
  <c r="AV18" i="72"/>
  <c r="AW18" i="72"/>
  <c r="AX18" i="72"/>
  <c r="BB18" i="72"/>
  <c r="A19" i="72"/>
  <c r="A65" i="72"/>
  <c r="C19" i="72"/>
  <c r="C65" i="72"/>
  <c r="E19" i="72"/>
  <c r="F19" i="72"/>
  <c r="H19" i="72"/>
  <c r="J19" i="72"/>
  <c r="O19" i="72"/>
  <c r="K19" i="72"/>
  <c r="L19" i="72"/>
  <c r="M19" i="72"/>
  <c r="N19" i="72"/>
  <c r="T19" i="72"/>
  <c r="V19" i="72"/>
  <c r="AA19" i="72"/>
  <c r="AB19" i="72"/>
  <c r="AG19" i="72"/>
  <c r="AH19" i="72"/>
  <c r="AI19" i="72"/>
  <c r="AO19" i="72"/>
  <c r="AP19" i="72"/>
  <c r="AV19" i="72"/>
  <c r="AW19" i="72"/>
  <c r="AX19" i="72"/>
  <c r="BB19" i="72"/>
  <c r="A20" i="72"/>
  <c r="A66" i="72"/>
  <c r="C20" i="72"/>
  <c r="C66" i="72"/>
  <c r="E20" i="72"/>
  <c r="F20" i="72"/>
  <c r="H20" i="72"/>
  <c r="J20" i="72"/>
  <c r="O20" i="72"/>
  <c r="K20" i="72"/>
  <c r="L20" i="72"/>
  <c r="M20" i="72"/>
  <c r="N20" i="72"/>
  <c r="V20" i="72"/>
  <c r="AA20" i="72"/>
  <c r="AB20" i="72"/>
  <c r="AG20" i="72"/>
  <c r="AH20" i="72"/>
  <c r="AI20" i="72"/>
  <c r="AO20" i="72"/>
  <c r="AP20" i="72"/>
  <c r="AV20" i="72"/>
  <c r="AW20" i="72"/>
  <c r="AX20" i="72"/>
  <c r="BB20" i="72"/>
  <c r="A21" i="72"/>
  <c r="A67" i="72"/>
  <c r="C21" i="72"/>
  <c r="C67" i="72"/>
  <c r="E21" i="72"/>
  <c r="F21" i="72"/>
  <c r="H21" i="72"/>
  <c r="J21" i="72"/>
  <c r="O21" i="72"/>
  <c r="K21" i="72"/>
  <c r="L21" i="72"/>
  <c r="M21" i="72"/>
  <c r="N21" i="72"/>
  <c r="T21" i="72"/>
  <c r="V21" i="72"/>
  <c r="AA21" i="72"/>
  <c r="AB21" i="72"/>
  <c r="AG21" i="72"/>
  <c r="AH21" i="72"/>
  <c r="AI21" i="72"/>
  <c r="AO21" i="72"/>
  <c r="AP21" i="72"/>
  <c r="AV21" i="72"/>
  <c r="AW21" i="72"/>
  <c r="AX21" i="72"/>
  <c r="BB21" i="72"/>
  <c r="A22" i="72"/>
  <c r="A68" i="72"/>
  <c r="C22" i="72"/>
  <c r="C68" i="72"/>
  <c r="E22" i="72"/>
  <c r="F22" i="72"/>
  <c r="H22" i="72"/>
  <c r="J22" i="72"/>
  <c r="K22" i="72"/>
  <c r="L22" i="72"/>
  <c r="M22" i="72"/>
  <c r="N22" i="72"/>
  <c r="O22" i="72"/>
  <c r="P22" i="72"/>
  <c r="Q22" i="72"/>
  <c r="R22" i="72"/>
  <c r="S22" i="72"/>
  <c r="T22" i="72"/>
  <c r="V22" i="72"/>
  <c r="AA22" i="72"/>
  <c r="AB22" i="72"/>
  <c r="AG22" i="72"/>
  <c r="AH22" i="72"/>
  <c r="AI22" i="72"/>
  <c r="AO22" i="72"/>
  <c r="AP22" i="72"/>
  <c r="AV22" i="72"/>
  <c r="AW22" i="72"/>
  <c r="AX22" i="72"/>
  <c r="BB22" i="72"/>
  <c r="A23" i="72"/>
  <c r="A69" i="72"/>
  <c r="C23" i="72"/>
  <c r="C69" i="72"/>
  <c r="E23" i="72"/>
  <c r="F23" i="72"/>
  <c r="H23" i="72"/>
  <c r="J23" i="72"/>
  <c r="O23" i="72"/>
  <c r="K23" i="72"/>
  <c r="L23" i="72"/>
  <c r="M23" i="72"/>
  <c r="N23" i="72"/>
  <c r="P23" i="72"/>
  <c r="Q23" i="72"/>
  <c r="R23" i="72"/>
  <c r="S23" i="72"/>
  <c r="T23" i="72"/>
  <c r="V23" i="72"/>
  <c r="AA23" i="72"/>
  <c r="AB23" i="72"/>
  <c r="AG23" i="72"/>
  <c r="AH23" i="72"/>
  <c r="AI23" i="72"/>
  <c r="AO23" i="72"/>
  <c r="AP23" i="72"/>
  <c r="AV23" i="72"/>
  <c r="AW23" i="72"/>
  <c r="AX23" i="72"/>
  <c r="BB23" i="72"/>
  <c r="A24" i="72"/>
  <c r="A70" i="72"/>
  <c r="C24" i="72"/>
  <c r="C70" i="72"/>
  <c r="E24" i="72"/>
  <c r="F24" i="72"/>
  <c r="H24" i="72"/>
  <c r="J24" i="72"/>
  <c r="K24" i="72"/>
  <c r="L24" i="72"/>
  <c r="M24" i="72"/>
  <c r="N24" i="72"/>
  <c r="O24" i="72"/>
  <c r="P24" i="72"/>
  <c r="Q24" i="72"/>
  <c r="R24" i="72"/>
  <c r="S24" i="72"/>
  <c r="T24" i="72"/>
  <c r="U24" i="72"/>
  <c r="V24" i="72"/>
  <c r="AA24" i="72"/>
  <c r="AB24" i="72"/>
  <c r="AG24" i="72"/>
  <c r="AH24" i="72"/>
  <c r="AI24" i="72"/>
  <c r="AO24" i="72"/>
  <c r="AP24" i="72"/>
  <c r="AV24" i="72"/>
  <c r="AW24" i="72"/>
  <c r="AX24" i="72"/>
  <c r="AY24" i="72"/>
  <c r="BA24" i="72"/>
  <c r="AZ24" i="72"/>
  <c r="E70" i="72"/>
  <c r="H70" i="72"/>
  <c r="I70" i="72"/>
  <c r="J70" i="72"/>
  <c r="BB24" i="72"/>
  <c r="A25" i="72"/>
  <c r="A71" i="72"/>
  <c r="C25" i="72"/>
  <c r="C71" i="72"/>
  <c r="E25" i="72"/>
  <c r="F25" i="72"/>
  <c r="H25" i="72"/>
  <c r="J25" i="72"/>
  <c r="O25" i="72"/>
  <c r="K25" i="72"/>
  <c r="L25" i="72"/>
  <c r="M25" i="72"/>
  <c r="N25" i="72" s="1"/>
  <c r="P25" i="72" s="1"/>
  <c r="Q25" i="72" s="1"/>
  <c r="R25" i="72" s="1"/>
  <c r="S25" i="72" s="1"/>
  <c r="V25" i="72"/>
  <c r="AA25" i="72"/>
  <c r="AB25" i="72"/>
  <c r="AG25" i="72"/>
  <c r="AH25" i="72"/>
  <c r="AI25" i="72"/>
  <c r="AO25" i="72"/>
  <c r="AP25" i="72"/>
  <c r="AV25" i="72"/>
  <c r="AW25" i="72"/>
  <c r="AX25" i="72"/>
  <c r="BB25" i="72"/>
  <c r="A26" i="72"/>
  <c r="A72" i="72"/>
  <c r="C26" i="72"/>
  <c r="C72" i="72"/>
  <c r="E26" i="72"/>
  <c r="F26" i="72"/>
  <c r="H26" i="72"/>
  <c r="J26" i="72"/>
  <c r="K26" i="72"/>
  <c r="L26" i="72"/>
  <c r="M26" i="72"/>
  <c r="N26" i="72"/>
  <c r="O26" i="72"/>
  <c r="P26" i="72"/>
  <c r="Q26" i="72"/>
  <c r="R26" i="72"/>
  <c r="S26" i="72"/>
  <c r="T26" i="72"/>
  <c r="U26" i="72"/>
  <c r="V26" i="72"/>
  <c r="AA26" i="72"/>
  <c r="AB26" i="72"/>
  <c r="AG26" i="72"/>
  <c r="AH26" i="72"/>
  <c r="AI26" i="72"/>
  <c r="AO26" i="72"/>
  <c r="AP26" i="72"/>
  <c r="AV26" i="72"/>
  <c r="AW26" i="72"/>
  <c r="AX26" i="72"/>
  <c r="AY26" i="72"/>
  <c r="BA26" i="72"/>
  <c r="AZ26" i="72"/>
  <c r="E72" i="72"/>
  <c r="BB26" i="72"/>
  <c r="A27" i="72"/>
  <c r="A73" i="72"/>
  <c r="C27" i="72"/>
  <c r="C73" i="72"/>
  <c r="E27" i="72"/>
  <c r="F27" i="72"/>
  <c r="H27" i="72"/>
  <c r="J27" i="72"/>
  <c r="K27" i="72"/>
  <c r="L27" i="72"/>
  <c r="M27" i="72"/>
  <c r="N27" i="72"/>
  <c r="O27" i="72"/>
  <c r="P27" i="72"/>
  <c r="Q27" i="72"/>
  <c r="R27" i="72"/>
  <c r="S27" i="72"/>
  <c r="U27" i="72"/>
  <c r="V27" i="72"/>
  <c r="AA27" i="72"/>
  <c r="AB27" i="72"/>
  <c r="AG27" i="72"/>
  <c r="AH27" i="72"/>
  <c r="AO27" i="72"/>
  <c r="AP27" i="72"/>
  <c r="AV27" i="72"/>
  <c r="AW27" i="72"/>
  <c r="AX27" i="72"/>
  <c r="AY27" i="72"/>
  <c r="BA27" i="72"/>
  <c r="AZ27" i="72"/>
  <c r="E73" i="72"/>
  <c r="BB27" i="72"/>
  <c r="A28" i="72"/>
  <c r="A74" i="72"/>
  <c r="C28" i="72"/>
  <c r="C74" i="72"/>
  <c r="E28" i="72"/>
  <c r="F28" i="72"/>
  <c r="H28" i="72"/>
  <c r="J28" i="72"/>
  <c r="K28" i="72"/>
  <c r="L28" i="72"/>
  <c r="M28" i="72"/>
  <c r="N28" i="72"/>
  <c r="O28" i="72"/>
  <c r="P28" i="72"/>
  <c r="Q28" i="72"/>
  <c r="R28" i="72"/>
  <c r="S28" i="72"/>
  <c r="T28" i="72"/>
  <c r="U28" i="72"/>
  <c r="V28" i="72"/>
  <c r="AA28" i="72"/>
  <c r="AB28" i="72"/>
  <c r="AG28" i="72"/>
  <c r="AH28" i="72"/>
  <c r="AI28" i="72"/>
  <c r="AO28" i="72"/>
  <c r="AP28" i="72"/>
  <c r="AV28" i="72"/>
  <c r="AW28" i="72"/>
  <c r="AX28" i="72"/>
  <c r="AY28" i="72"/>
  <c r="BA28" i="72"/>
  <c r="AZ28" i="72"/>
  <c r="E74" i="72"/>
  <c r="H74" i="72"/>
  <c r="I74" i="72"/>
  <c r="J74" i="72"/>
  <c r="BB28" i="72"/>
  <c r="A29" i="72"/>
  <c r="A75" i="72"/>
  <c r="C29" i="72"/>
  <c r="C75" i="72"/>
  <c r="E29" i="72"/>
  <c r="F29" i="72"/>
  <c r="H29" i="72"/>
  <c r="J29" i="72"/>
  <c r="K29" i="72"/>
  <c r="L29" i="72"/>
  <c r="M29" i="72"/>
  <c r="N29" i="72"/>
  <c r="O29" i="72"/>
  <c r="P29" i="72"/>
  <c r="Q29" i="72"/>
  <c r="R29" i="72"/>
  <c r="S29" i="72"/>
  <c r="T29" i="72"/>
  <c r="U29" i="72"/>
  <c r="V29" i="72"/>
  <c r="AA29" i="72"/>
  <c r="AB29" i="72"/>
  <c r="AG29" i="72"/>
  <c r="AH29" i="72"/>
  <c r="AI29" i="72"/>
  <c r="AO29" i="72"/>
  <c r="AP29" i="72"/>
  <c r="AV29" i="72"/>
  <c r="AW29" i="72"/>
  <c r="AX29" i="72"/>
  <c r="AY29" i="72"/>
  <c r="BA29" i="72"/>
  <c r="AZ29" i="72"/>
  <c r="E75" i="72"/>
  <c r="H75" i="72"/>
  <c r="I75" i="72"/>
  <c r="J75" i="72"/>
  <c r="BB29" i="72"/>
  <c r="A30" i="72"/>
  <c r="A76" i="72"/>
  <c r="C30" i="72"/>
  <c r="C76" i="72"/>
  <c r="E30" i="72"/>
  <c r="F30" i="72"/>
  <c r="H30" i="72"/>
  <c r="J30" i="72"/>
  <c r="K30" i="72"/>
  <c r="L30" i="72"/>
  <c r="M30" i="72"/>
  <c r="N30" i="72"/>
  <c r="O30" i="72"/>
  <c r="P30" i="72"/>
  <c r="Q30" i="72"/>
  <c r="R30" i="72"/>
  <c r="S30" i="72"/>
  <c r="T30" i="72"/>
  <c r="U30" i="72"/>
  <c r="V30" i="72"/>
  <c r="AA30" i="72"/>
  <c r="AB30" i="72"/>
  <c r="AG30" i="72"/>
  <c r="AH30" i="72"/>
  <c r="AI30" i="72"/>
  <c r="AO30" i="72"/>
  <c r="AP30" i="72"/>
  <c r="AV30" i="72"/>
  <c r="AW30" i="72"/>
  <c r="AX30" i="72"/>
  <c r="AY30" i="72"/>
  <c r="BA30" i="72"/>
  <c r="AZ30" i="72"/>
  <c r="E76" i="72"/>
  <c r="BB30" i="72"/>
  <c r="A31" i="72"/>
  <c r="A77" i="72"/>
  <c r="C31" i="72"/>
  <c r="C77" i="72"/>
  <c r="E31" i="72"/>
  <c r="F31" i="72"/>
  <c r="H31" i="72"/>
  <c r="J31" i="72"/>
  <c r="K31" i="72"/>
  <c r="L31" i="72"/>
  <c r="M31" i="72"/>
  <c r="N31" i="72"/>
  <c r="O31" i="72"/>
  <c r="P31" i="72"/>
  <c r="Q31" i="72"/>
  <c r="R31" i="72"/>
  <c r="S31" i="72"/>
  <c r="T31" i="72"/>
  <c r="U31" i="72"/>
  <c r="V31" i="72"/>
  <c r="AA31" i="72"/>
  <c r="AB31" i="72"/>
  <c r="AG31" i="72"/>
  <c r="AH31" i="72"/>
  <c r="AI31" i="72"/>
  <c r="AO31" i="72"/>
  <c r="AP31" i="72"/>
  <c r="AV31" i="72"/>
  <c r="AW31" i="72"/>
  <c r="AX31" i="72"/>
  <c r="AY31" i="72"/>
  <c r="BA31" i="72"/>
  <c r="AZ31" i="72"/>
  <c r="E77" i="72"/>
  <c r="H77" i="72"/>
  <c r="I77" i="72"/>
  <c r="J77" i="72"/>
  <c r="BB31" i="72"/>
  <c r="A32" i="72"/>
  <c r="A78" i="72"/>
  <c r="C32" i="72"/>
  <c r="C78" i="72"/>
  <c r="E32" i="72"/>
  <c r="F32" i="72"/>
  <c r="H32" i="72"/>
  <c r="J32" i="72"/>
  <c r="K32" i="72"/>
  <c r="L32" i="72"/>
  <c r="M32" i="72"/>
  <c r="N32" i="72"/>
  <c r="O32" i="72"/>
  <c r="P32" i="72"/>
  <c r="Q32" i="72"/>
  <c r="R32" i="72"/>
  <c r="S32" i="72"/>
  <c r="U32" i="72"/>
  <c r="V32" i="72"/>
  <c r="AA32" i="72"/>
  <c r="AB32" i="72"/>
  <c r="AG32" i="72"/>
  <c r="AH32" i="72"/>
  <c r="AI32" i="72"/>
  <c r="AO32" i="72"/>
  <c r="AP32" i="72"/>
  <c r="AV32" i="72"/>
  <c r="AW32" i="72"/>
  <c r="AX32" i="72"/>
  <c r="AY32" i="72"/>
  <c r="BA32" i="72"/>
  <c r="AZ32" i="72"/>
  <c r="E78" i="72"/>
  <c r="H78" i="72"/>
  <c r="I78" i="72"/>
  <c r="J78" i="72"/>
  <c r="BB32" i="72"/>
  <c r="A33" i="72"/>
  <c r="A79" i="72"/>
  <c r="C33" i="72"/>
  <c r="C79" i="72"/>
  <c r="E33" i="72"/>
  <c r="F33" i="72"/>
  <c r="H33" i="72"/>
  <c r="J33" i="72"/>
  <c r="K33" i="72"/>
  <c r="L33" i="72"/>
  <c r="M33" i="72"/>
  <c r="N33" i="72"/>
  <c r="O33" i="72"/>
  <c r="P33" i="72"/>
  <c r="Q33" i="72"/>
  <c r="R33" i="72"/>
  <c r="S33" i="72"/>
  <c r="T33" i="72"/>
  <c r="U33" i="72"/>
  <c r="V33" i="72"/>
  <c r="AA33" i="72"/>
  <c r="AB33" i="72"/>
  <c r="AG33" i="72"/>
  <c r="AH33" i="72"/>
  <c r="AI33" i="72"/>
  <c r="AO33" i="72"/>
  <c r="AP33" i="72"/>
  <c r="AV33" i="72"/>
  <c r="AW33" i="72"/>
  <c r="AX33" i="72"/>
  <c r="AY33" i="72"/>
  <c r="BA33" i="72"/>
  <c r="AZ33" i="72"/>
  <c r="E79" i="72"/>
  <c r="H79" i="72"/>
  <c r="I79" i="72"/>
  <c r="J79" i="72"/>
  <c r="BB33" i="72"/>
  <c r="P36" i="72"/>
  <c r="C40" i="72"/>
  <c r="B41" i="72"/>
  <c r="C41" i="72"/>
  <c r="V41" i="72"/>
  <c r="B42" i="72"/>
  <c r="C42" i="72"/>
  <c r="B43" i="72"/>
  <c r="C46" i="72"/>
  <c r="D47" i="72"/>
  <c r="B50" i="72"/>
  <c r="D50" i="72"/>
  <c r="K50" i="72"/>
  <c r="B51" i="72"/>
  <c r="D51" i="72"/>
  <c r="K51" i="72"/>
  <c r="B52" i="72"/>
  <c r="D52" i="72"/>
  <c r="K52" i="72"/>
  <c r="B53" i="72"/>
  <c r="D53" i="72"/>
  <c r="K53" i="72"/>
  <c r="B54" i="72"/>
  <c r="D54" i="72"/>
  <c r="K54" i="72"/>
  <c r="B55" i="72"/>
  <c r="D55" i="72"/>
  <c r="K55" i="72"/>
  <c r="B56" i="72"/>
  <c r="D56" i="72"/>
  <c r="K56" i="72"/>
  <c r="B57" i="72"/>
  <c r="D57" i="72"/>
  <c r="K57" i="72"/>
  <c r="B58" i="72"/>
  <c r="D58" i="72"/>
  <c r="K58" i="72"/>
  <c r="B59" i="72"/>
  <c r="D59" i="72"/>
  <c r="K59" i="72"/>
  <c r="B60" i="72"/>
  <c r="D60" i="72"/>
  <c r="K60" i="72"/>
  <c r="B61" i="72"/>
  <c r="D61" i="72"/>
  <c r="K61" i="72"/>
  <c r="B62" i="72"/>
  <c r="D62" i="72"/>
  <c r="K62" i="72"/>
  <c r="B63" i="72"/>
  <c r="D63" i="72"/>
  <c r="K63" i="72"/>
  <c r="B64" i="72"/>
  <c r="D64" i="72"/>
  <c r="K64" i="72"/>
  <c r="B65" i="72"/>
  <c r="D65" i="72"/>
  <c r="K65" i="72"/>
  <c r="B66" i="72"/>
  <c r="D66" i="72"/>
  <c r="K66" i="72"/>
  <c r="B67" i="72"/>
  <c r="D67" i="72"/>
  <c r="K67" i="72"/>
  <c r="B68" i="72"/>
  <c r="D68" i="72"/>
  <c r="K68" i="72"/>
  <c r="B69" i="72"/>
  <c r="D69" i="72"/>
  <c r="K69" i="72"/>
  <c r="B70" i="72"/>
  <c r="D70" i="72"/>
  <c r="K70" i="72"/>
  <c r="B71" i="72"/>
  <c r="D71" i="72"/>
  <c r="K71" i="72"/>
  <c r="B72" i="72"/>
  <c r="D72" i="72"/>
  <c r="K72" i="72"/>
  <c r="B73" i="72"/>
  <c r="D73" i="72"/>
  <c r="K73" i="72"/>
  <c r="B74" i="72"/>
  <c r="D74" i="72"/>
  <c r="K74" i="72"/>
  <c r="B75" i="72"/>
  <c r="D75" i="72"/>
  <c r="K75" i="72"/>
  <c r="B76" i="72"/>
  <c r="D76" i="72"/>
  <c r="K76" i="72"/>
  <c r="B77" i="72"/>
  <c r="D77" i="72"/>
  <c r="K77" i="72"/>
  <c r="B78" i="72"/>
  <c r="D78" i="72"/>
  <c r="K78" i="72"/>
  <c r="B79" i="72"/>
  <c r="D79" i="72"/>
  <c r="K79" i="72"/>
  <c r="AB95" i="72"/>
  <c r="AB96" i="72"/>
  <c r="A2" i="77"/>
  <c r="A3" i="77"/>
  <c r="A4" i="77"/>
  <c r="A5" i="77"/>
  <c r="C9" i="77"/>
  <c r="D10" i="77"/>
  <c r="A2" i="47"/>
  <c r="A3" i="47"/>
  <c r="A4" i="47"/>
  <c r="A5" i="47"/>
  <c r="C9" i="47"/>
  <c r="D10" i="47"/>
  <c r="A2" i="76"/>
  <c r="A3" i="76"/>
  <c r="A4" i="76"/>
  <c r="A5" i="76"/>
  <c r="A9" i="76"/>
  <c r="B9" i="76"/>
  <c r="C9" i="76"/>
  <c r="L15" i="70"/>
  <c r="K16" i="70"/>
  <c r="L16" i="70"/>
  <c r="L17" i="70"/>
  <c r="J18" i="70"/>
  <c r="L18" i="70"/>
  <c r="L19" i="70"/>
  <c r="D20" i="70"/>
  <c r="J20" i="70"/>
  <c r="K20" i="70"/>
  <c r="L20" i="70"/>
  <c r="D21" i="70"/>
  <c r="J21" i="70"/>
  <c r="K21" i="70"/>
  <c r="L21" i="70"/>
  <c r="D22" i="70"/>
  <c r="F22" i="70"/>
  <c r="J22" i="70"/>
  <c r="K22" i="70"/>
  <c r="L22" i="70"/>
  <c r="J24" i="70"/>
  <c r="K24" i="70"/>
  <c r="L24" i="70"/>
  <c r="D26" i="70"/>
  <c r="J26" i="70"/>
  <c r="K26" i="70"/>
  <c r="L26" i="70"/>
  <c r="D27" i="70"/>
  <c r="J27" i="70"/>
  <c r="K27" i="70"/>
  <c r="L27" i="70"/>
  <c r="D28" i="70"/>
  <c r="J28" i="70"/>
  <c r="K28" i="70"/>
  <c r="L28" i="70"/>
  <c r="D29" i="70"/>
  <c r="J29" i="70"/>
  <c r="K29" i="70"/>
  <c r="L29" i="70"/>
  <c r="D30" i="70"/>
  <c r="J30" i="70"/>
  <c r="K30" i="70"/>
  <c r="L30" i="70"/>
  <c r="B31" i="70"/>
  <c r="C31" i="70"/>
  <c r="D31" i="70"/>
  <c r="G31" i="70"/>
  <c r="H31" i="70"/>
  <c r="I31" i="70"/>
  <c r="J31" i="70"/>
  <c r="K31" i="70"/>
  <c r="L31" i="70"/>
  <c r="B32" i="70"/>
  <c r="C32" i="70"/>
  <c r="D32" i="70"/>
  <c r="G32" i="70"/>
  <c r="H32" i="70"/>
  <c r="I32" i="70"/>
  <c r="J32" i="70"/>
  <c r="K32" i="70"/>
  <c r="L32" i="70"/>
  <c r="D33" i="70"/>
  <c r="J33" i="70"/>
  <c r="K33" i="70"/>
  <c r="L33" i="70"/>
  <c r="D36" i="70"/>
  <c r="J36" i="70"/>
  <c r="K36" i="70"/>
  <c r="L36" i="70"/>
  <c r="D37" i="70"/>
  <c r="J37" i="70"/>
  <c r="K37" i="70"/>
  <c r="L37" i="70"/>
  <c r="D39" i="70"/>
  <c r="J39" i="70"/>
  <c r="L60" i="70"/>
  <c r="K61" i="70"/>
  <c r="L61" i="70"/>
  <c r="J62" i="70"/>
  <c r="K62" i="70"/>
  <c r="L62" i="70"/>
  <c r="L63" i="70"/>
  <c r="L64" i="70"/>
  <c r="D65" i="70"/>
  <c r="J65" i="70"/>
  <c r="K65" i="70"/>
  <c r="L65" i="70"/>
  <c r="D66" i="70"/>
  <c r="J66" i="70"/>
  <c r="K66" i="70"/>
  <c r="L66" i="70"/>
  <c r="D67" i="70"/>
  <c r="F67" i="70"/>
  <c r="I67" i="70"/>
  <c r="J67" i="70"/>
  <c r="K67" i="70"/>
  <c r="L67" i="70"/>
  <c r="J69" i="70"/>
  <c r="K69" i="70"/>
  <c r="L69" i="70"/>
  <c r="D71" i="70"/>
  <c r="J71" i="70"/>
  <c r="K71" i="70"/>
  <c r="L71" i="70"/>
  <c r="D72" i="70"/>
  <c r="J72" i="70"/>
  <c r="K72" i="70"/>
  <c r="L72" i="70"/>
  <c r="D73" i="70"/>
  <c r="J73" i="70"/>
  <c r="K73" i="70"/>
  <c r="L73" i="70"/>
  <c r="D74" i="70"/>
  <c r="J74" i="70"/>
  <c r="K74" i="70"/>
  <c r="L74" i="70"/>
  <c r="D75" i="70"/>
  <c r="J75" i="70"/>
  <c r="K75" i="70"/>
  <c r="L75" i="70"/>
  <c r="B76" i="70"/>
  <c r="C76" i="70"/>
  <c r="D76" i="70"/>
  <c r="G76" i="70"/>
  <c r="H76" i="70"/>
  <c r="I76" i="70"/>
  <c r="J76" i="70"/>
  <c r="K76" i="70"/>
  <c r="L76" i="70"/>
  <c r="B77" i="70"/>
  <c r="C77" i="70"/>
  <c r="D77" i="70"/>
  <c r="G77" i="70"/>
  <c r="H77" i="70"/>
  <c r="I77" i="70"/>
  <c r="J77" i="70"/>
  <c r="K77" i="70"/>
  <c r="L77" i="70"/>
  <c r="D78" i="70"/>
  <c r="J78" i="70"/>
  <c r="K78" i="70"/>
  <c r="L78" i="70"/>
  <c r="D81" i="70"/>
  <c r="J81" i="70"/>
  <c r="K81" i="70"/>
  <c r="L81" i="70"/>
  <c r="D82" i="70"/>
  <c r="J82" i="70"/>
  <c r="K82" i="70"/>
  <c r="L82" i="70"/>
  <c r="D84" i="70"/>
  <c r="J84" i="70"/>
  <c r="L105" i="70"/>
  <c r="K106" i="70"/>
  <c r="L106" i="70"/>
  <c r="J107" i="70"/>
  <c r="K107" i="70"/>
  <c r="L107" i="70"/>
  <c r="L108" i="70"/>
  <c r="L109" i="70"/>
  <c r="D110" i="70"/>
  <c r="J110" i="70"/>
  <c r="K110" i="70"/>
  <c r="L110" i="70"/>
  <c r="D111" i="70"/>
  <c r="J111" i="70"/>
  <c r="K111" i="70"/>
  <c r="L111" i="70"/>
  <c r="D112" i="70"/>
  <c r="F112" i="70"/>
  <c r="I112" i="70"/>
  <c r="J112" i="70"/>
  <c r="K112" i="70"/>
  <c r="L112" i="70"/>
  <c r="J114" i="70"/>
  <c r="K114" i="70"/>
  <c r="L114" i="70"/>
  <c r="D116" i="70"/>
  <c r="J116" i="70"/>
  <c r="K116" i="70"/>
  <c r="L116" i="70"/>
  <c r="D117" i="70"/>
  <c r="J117" i="70"/>
  <c r="K117" i="70"/>
  <c r="L117" i="70"/>
  <c r="D118" i="70"/>
  <c r="J118" i="70"/>
  <c r="K118" i="70"/>
  <c r="L118" i="70"/>
  <c r="D119" i="70"/>
  <c r="J119" i="70"/>
  <c r="K119" i="70"/>
  <c r="L119" i="70"/>
  <c r="D120" i="70"/>
  <c r="J120" i="70"/>
  <c r="K120" i="70"/>
  <c r="L120" i="70"/>
  <c r="B121" i="70"/>
  <c r="C121" i="70"/>
  <c r="D121" i="70"/>
  <c r="G121" i="70"/>
  <c r="H121" i="70"/>
  <c r="I121" i="70"/>
  <c r="J121" i="70"/>
  <c r="K121" i="70"/>
  <c r="L121" i="70"/>
  <c r="B122" i="70"/>
  <c r="C122" i="70"/>
  <c r="D122" i="70"/>
  <c r="G122" i="70"/>
  <c r="H122" i="70"/>
  <c r="I122" i="70"/>
  <c r="J122" i="70"/>
  <c r="K122" i="70"/>
  <c r="L122" i="70"/>
  <c r="D123" i="70"/>
  <c r="J123" i="70"/>
  <c r="K123" i="70"/>
  <c r="L123" i="70"/>
  <c r="D126" i="70"/>
  <c r="J126" i="70"/>
  <c r="K126" i="70"/>
  <c r="L126" i="70"/>
  <c r="D127" i="70"/>
  <c r="J127" i="70"/>
  <c r="K127" i="70"/>
  <c r="L127" i="70"/>
  <c r="D129" i="70"/>
  <c r="J129" i="70"/>
  <c r="D154" i="70"/>
  <c r="D155" i="70"/>
  <c r="D156" i="70"/>
  <c r="F156" i="70"/>
  <c r="D160" i="70"/>
  <c r="D161" i="70"/>
  <c r="D162" i="70"/>
  <c r="D163" i="70"/>
  <c r="D164" i="70"/>
  <c r="B165" i="70"/>
  <c r="C165" i="70"/>
  <c r="D165" i="70"/>
  <c r="B166" i="70"/>
  <c r="C166" i="70"/>
  <c r="D166" i="70"/>
  <c r="D167" i="70"/>
  <c r="D170" i="70"/>
  <c r="D171" i="70"/>
  <c r="D173" i="70"/>
  <c r="D198" i="70"/>
  <c r="D199" i="70"/>
  <c r="D200" i="70"/>
  <c r="F200" i="70"/>
  <c r="D204" i="70"/>
  <c r="D205" i="70"/>
  <c r="D206" i="70"/>
  <c r="D207" i="70"/>
  <c r="D208" i="70"/>
  <c r="B209" i="70"/>
  <c r="C209" i="70"/>
  <c r="D209" i="70"/>
  <c r="B210" i="70"/>
  <c r="C210" i="70"/>
  <c r="D210" i="70"/>
  <c r="D211" i="70"/>
  <c r="D214" i="70"/>
  <c r="D215" i="70"/>
  <c r="D217" i="70"/>
  <c r="D239" i="70"/>
  <c r="D242" i="70"/>
  <c r="D243" i="70"/>
  <c r="D244" i="70"/>
  <c r="F244" i="70"/>
  <c r="D248" i="70"/>
  <c r="D249" i="70"/>
  <c r="D250" i="70"/>
  <c r="D251" i="70"/>
  <c r="D252" i="70"/>
  <c r="B253" i="70"/>
  <c r="C253" i="70"/>
  <c r="D253" i="70"/>
  <c r="B254" i="70"/>
  <c r="C254" i="70"/>
  <c r="D254" i="70"/>
  <c r="D255" i="70"/>
  <c r="D258" i="70"/>
  <c r="D259" i="70"/>
  <c r="D261" i="70"/>
  <c r="D286" i="70"/>
  <c r="D287" i="70"/>
  <c r="D288" i="70"/>
  <c r="D292" i="70"/>
  <c r="D293" i="70"/>
  <c r="D294" i="70"/>
  <c r="D295" i="70"/>
  <c r="D296" i="70"/>
  <c r="B297" i="70"/>
  <c r="C297" i="70"/>
  <c r="D297" i="70"/>
  <c r="B298" i="70"/>
  <c r="C298" i="70"/>
  <c r="D298" i="70"/>
  <c r="D299" i="70"/>
  <c r="D302" i="70"/>
  <c r="D303" i="70"/>
  <c r="D305" i="70"/>
  <c r="D361" i="70"/>
  <c r="D362" i="70"/>
  <c r="D363" i="70"/>
  <c r="F363" i="70"/>
  <c r="D367" i="70"/>
  <c r="D368" i="70"/>
  <c r="D369" i="70"/>
  <c r="D370" i="70"/>
  <c r="D371" i="70"/>
  <c r="B372" i="70"/>
  <c r="C372" i="70"/>
  <c r="D372" i="70"/>
  <c r="B373" i="70"/>
  <c r="C373" i="70"/>
  <c r="D373" i="70"/>
  <c r="D374" i="70"/>
  <c r="D377" i="70"/>
  <c r="D378" i="70"/>
  <c r="D380" i="70"/>
  <c r="A1" i="46"/>
  <c r="A2" i="46"/>
  <c r="A3" i="46"/>
  <c r="A4" i="46"/>
  <c r="A5" i="46"/>
  <c r="E9" i="46"/>
  <c r="G9" i="46"/>
  <c r="I9" i="46"/>
  <c r="G10" i="46"/>
  <c r="I10" i="46"/>
  <c r="G11" i="46"/>
  <c r="I11" i="46"/>
  <c r="G12" i="46"/>
  <c r="I12" i="46"/>
  <c r="G13" i="46"/>
  <c r="I13" i="46"/>
  <c r="G14" i="46"/>
  <c r="I14" i="46"/>
  <c r="G15" i="46"/>
  <c r="I15" i="46"/>
  <c r="D16" i="46"/>
  <c r="E16" i="46"/>
  <c r="F16" i="46"/>
  <c r="G16" i="46"/>
  <c r="I16" i="46"/>
  <c r="A1" i="52"/>
  <c r="A2" i="52"/>
  <c r="A3" i="52"/>
  <c r="A4" i="52"/>
  <c r="A5" i="52"/>
  <c r="A6" i="52"/>
  <c r="G9" i="52"/>
  <c r="J9" i="52"/>
  <c r="K9" i="52"/>
  <c r="L9" i="52"/>
  <c r="M9" i="52"/>
  <c r="N9" i="52"/>
  <c r="E10" i="52"/>
  <c r="G10" i="52"/>
  <c r="K10" i="52"/>
  <c r="L10" i="52"/>
  <c r="M10" i="52"/>
  <c r="N10" i="52"/>
  <c r="E11" i="52"/>
  <c r="G11" i="52"/>
  <c r="K11" i="52"/>
  <c r="L11" i="52"/>
  <c r="M11" i="52"/>
  <c r="N11" i="52"/>
  <c r="C12" i="52"/>
  <c r="G12" i="52"/>
  <c r="K12" i="52"/>
  <c r="L12" i="52"/>
  <c r="M12" i="52"/>
  <c r="N12" i="52"/>
  <c r="K26" i="52"/>
  <c r="D252" i="7"/>
  <c r="E256" i="7"/>
  <c r="E257" i="7"/>
  <c r="B256" i="7"/>
  <c r="C256" i="7"/>
  <c r="C257" i="7"/>
  <c r="D257" i="7"/>
  <c r="P7" i="72"/>
  <c r="Q7" i="72"/>
  <c r="R7" i="72"/>
  <c r="S7" i="72"/>
  <c r="P11" i="72"/>
  <c r="Q11" i="72"/>
  <c r="R11" i="72"/>
  <c r="S11" i="72"/>
  <c r="P17" i="72"/>
  <c r="Q17" i="72"/>
  <c r="R17" i="72"/>
  <c r="S17" i="72"/>
  <c r="H14" i="7"/>
  <c r="C38" i="7"/>
  <c r="C108" i="7"/>
  <c r="Q36" i="72"/>
  <c r="S4" i="72"/>
  <c r="BA7" i="72"/>
  <c r="AZ7" i="72"/>
  <c r="E53" i="72"/>
  <c r="H53" i="72"/>
  <c r="I53" i="72"/>
  <c r="J53" i="72"/>
  <c r="U7" i="72"/>
  <c r="AY7" i="72"/>
  <c r="BA8" i="72"/>
  <c r="AZ8" i="72"/>
  <c r="E54" i="72"/>
  <c r="H54" i="72"/>
  <c r="I54" i="72"/>
  <c r="J54" i="72"/>
  <c r="U8" i="72"/>
  <c r="AY8" i="72"/>
  <c r="BA9" i="72"/>
  <c r="AZ9" i="72"/>
  <c r="E55" i="72"/>
  <c r="U9" i="72"/>
  <c r="AY9" i="72"/>
  <c r="BA10" i="72"/>
  <c r="AZ10" i="72"/>
  <c r="E56" i="72"/>
  <c r="U10" i="72"/>
  <c r="AY10" i="72"/>
  <c r="BA11" i="72"/>
  <c r="AZ11" i="72"/>
  <c r="E57" i="72"/>
  <c r="U11" i="72"/>
  <c r="AY11" i="72"/>
  <c r="BA12" i="72"/>
  <c r="AZ12" i="72"/>
  <c r="E58" i="72"/>
  <c r="U12" i="72"/>
  <c r="AY12" i="72"/>
  <c r="BA15" i="72"/>
  <c r="AZ15" i="72"/>
  <c r="E61" i="72"/>
  <c r="U15" i="72"/>
  <c r="AY15" i="72"/>
  <c r="U16" i="72"/>
  <c r="AY16" i="72"/>
  <c r="BA16" i="72"/>
  <c r="AZ16" i="72"/>
  <c r="E62" i="72"/>
  <c r="U17" i="72"/>
  <c r="AY17" i="72"/>
  <c r="BA17" i="72"/>
  <c r="AZ17" i="72"/>
  <c r="E63" i="72"/>
  <c r="BA18" i="72"/>
  <c r="AZ18" i="72"/>
  <c r="E64" i="72"/>
  <c r="U18" i="72"/>
  <c r="AY18" i="72"/>
  <c r="U22" i="72"/>
  <c r="AY22" i="72"/>
  <c r="BA22" i="72"/>
  <c r="AZ22" i="72"/>
  <c r="E68" i="72"/>
  <c r="BA23" i="72"/>
  <c r="AZ23" i="72"/>
  <c r="E69" i="72"/>
  <c r="H69" i="72"/>
  <c r="I69" i="72"/>
  <c r="J69" i="72"/>
  <c r="U23" i="72"/>
  <c r="AY23" i="72"/>
  <c r="P19" i="72"/>
  <c r="Q19" i="72"/>
  <c r="R19" i="72"/>
  <c r="S19" i="72"/>
  <c r="P20" i="72"/>
  <c r="Q20" i="72"/>
  <c r="R20" i="72"/>
  <c r="S20" i="72"/>
  <c r="P5" i="72"/>
  <c r="Q5" i="72"/>
  <c r="R5" i="72"/>
  <c r="S5" i="72"/>
  <c r="P6" i="72"/>
  <c r="Q6" i="72"/>
  <c r="R6" i="72"/>
  <c r="S6" i="72"/>
  <c r="P13" i="72"/>
  <c r="Q13" i="72"/>
  <c r="R13" i="72"/>
  <c r="S13" i="72"/>
  <c r="P14" i="72"/>
  <c r="Q14" i="72"/>
  <c r="R14" i="72"/>
  <c r="S14" i="72"/>
  <c r="P21" i="72"/>
  <c r="Q21" i="72"/>
  <c r="R21" i="72"/>
  <c r="S21" i="72"/>
  <c r="H15" i="7"/>
  <c r="H16" i="7"/>
  <c r="I16" i="7"/>
  <c r="I17" i="7"/>
  <c r="I20" i="7"/>
  <c r="C15" i="7"/>
  <c r="C16" i="7"/>
  <c r="D16" i="7"/>
  <c r="D17" i="7"/>
  <c r="C39" i="7"/>
  <c r="C40" i="7"/>
  <c r="D40" i="7"/>
  <c r="D41" i="7"/>
  <c r="C109" i="7"/>
  <c r="C110" i="7"/>
  <c r="D110" i="7"/>
  <c r="D111" i="7"/>
  <c r="D114" i="7"/>
  <c r="E118" i="7"/>
  <c r="E119" i="7"/>
  <c r="B118" i="7"/>
  <c r="C118" i="7"/>
  <c r="C119" i="7"/>
  <c r="D119" i="7"/>
  <c r="H130" i="7"/>
  <c r="J126" i="7"/>
  <c r="I55" i="72"/>
  <c r="H55" i="72"/>
  <c r="I56" i="72"/>
  <c r="H56" i="72"/>
  <c r="I57" i="72"/>
  <c r="H57" i="72"/>
  <c r="I58" i="72"/>
  <c r="H58" i="72"/>
  <c r="I61" i="72"/>
  <c r="H61" i="72"/>
  <c r="I62" i="72"/>
  <c r="H62" i="72"/>
  <c r="I63" i="72"/>
  <c r="H63" i="72"/>
  <c r="I64" i="72"/>
  <c r="H64" i="72"/>
  <c r="I68" i="72"/>
  <c r="H68" i="72"/>
  <c r="I72" i="72"/>
  <c r="H72" i="72"/>
  <c r="I73" i="72"/>
  <c r="H73" i="72"/>
  <c r="I76" i="72"/>
  <c r="H76" i="72"/>
  <c r="BA4" i="72"/>
  <c r="AZ4" i="72"/>
  <c r="E50" i="72"/>
  <c r="U4" i="72"/>
  <c r="AY4" i="72"/>
  <c r="U19" i="72"/>
  <c r="AY19" i="72"/>
  <c r="BA19" i="72"/>
  <c r="AZ19" i="72"/>
  <c r="E65" i="72"/>
  <c r="U20" i="72"/>
  <c r="AY20" i="72"/>
  <c r="BA20" i="72"/>
  <c r="AZ20" i="72"/>
  <c r="E66" i="72"/>
  <c r="U5" i="72"/>
  <c r="AY5" i="72"/>
  <c r="BA5" i="72"/>
  <c r="AZ5" i="72"/>
  <c r="E51" i="72"/>
  <c r="U6" i="72"/>
  <c r="AY6" i="72"/>
  <c r="BA6" i="72"/>
  <c r="AZ6" i="72"/>
  <c r="E52" i="72"/>
  <c r="H52" i="72"/>
  <c r="I52" i="72"/>
  <c r="J52" i="72"/>
  <c r="BA13" i="72"/>
  <c r="AZ13" i="72"/>
  <c r="E59" i="72"/>
  <c r="U13" i="72"/>
  <c r="AY13" i="72"/>
  <c r="BA14" i="72"/>
  <c r="AZ14" i="72"/>
  <c r="E60" i="72"/>
  <c r="U14" i="72"/>
  <c r="AY14" i="72"/>
  <c r="U21" i="72"/>
  <c r="AY21" i="72"/>
  <c r="BA21" i="72"/>
  <c r="AZ21" i="72"/>
  <c r="E67" i="72"/>
  <c r="G23" i="7"/>
  <c r="J24" i="7"/>
  <c r="J25" i="7"/>
  <c r="G24" i="7"/>
  <c r="H26" i="7"/>
  <c r="D20" i="7"/>
  <c r="E17" i="7"/>
  <c r="D44" i="7"/>
  <c r="E41" i="7"/>
  <c r="H131" i="7"/>
  <c r="H132" i="7"/>
  <c r="I132" i="7"/>
  <c r="I133" i="7"/>
  <c r="H50" i="72"/>
  <c r="I50" i="72"/>
  <c r="I65" i="72"/>
  <c r="H65" i="72"/>
  <c r="I66" i="72"/>
  <c r="H66" i="72"/>
  <c r="I51" i="72"/>
  <c r="H51" i="72"/>
  <c r="H59" i="72"/>
  <c r="I59" i="72"/>
  <c r="I60" i="72"/>
  <c r="H60" i="72"/>
  <c r="H67" i="72"/>
  <c r="I67" i="72"/>
  <c r="H25" i="7"/>
  <c r="I25" i="7"/>
  <c r="H24" i="7"/>
  <c r="E25" i="7"/>
  <c r="E24" i="7"/>
  <c r="B24" i="7"/>
  <c r="C26" i="7"/>
  <c r="L26" i="7"/>
  <c r="L188" i="7"/>
  <c r="B23" i="7"/>
  <c r="C50" i="7"/>
  <c r="L50" i="7"/>
  <c r="E48" i="7"/>
  <c r="E49" i="7"/>
  <c r="B48" i="7"/>
  <c r="C48" i="7"/>
  <c r="C49" i="7"/>
  <c r="D49" i="7"/>
  <c r="B47" i="7"/>
  <c r="J133" i="7"/>
  <c r="I136" i="7"/>
  <c r="C24" i="7"/>
  <c r="C25" i="7"/>
  <c r="D25" i="7"/>
  <c r="D26" i="7"/>
  <c r="L189" i="7"/>
  <c r="P188" i="7"/>
  <c r="H142" i="7"/>
  <c r="J140" i="7"/>
  <c r="J141" i="7"/>
  <c r="G140" i="7"/>
  <c r="H141" i="7"/>
  <c r="I141" i="7"/>
  <c r="J41" i="7" l="1"/>
  <c r="I44" i="7"/>
  <c r="J64" i="7"/>
  <c r="I67" i="7"/>
  <c r="J71" i="7" s="1"/>
  <c r="J72" i="7" s="1"/>
  <c r="G71" i="7" s="1"/>
  <c r="H71" i="7" s="1"/>
  <c r="D91" i="7"/>
  <c r="E88" i="7"/>
  <c r="J87" i="7"/>
  <c r="I88" i="7"/>
  <c r="I91" i="7" s="1"/>
  <c r="J111" i="7"/>
  <c r="I114" i="7"/>
  <c r="J118" i="7" s="1"/>
  <c r="J119" i="7" s="1"/>
  <c r="G118" i="7" s="1"/>
  <c r="H118" i="7" s="1"/>
  <c r="H119" i="7" s="1"/>
  <c r="I119" i="7" s="1"/>
  <c r="L140" i="7" s="1"/>
  <c r="E133" i="7"/>
  <c r="D136" i="7"/>
  <c r="BA25" i="72"/>
  <c r="AZ25" i="72" s="1"/>
  <c r="E71" i="72" s="1"/>
  <c r="U25" i="72"/>
  <c r="AY25" i="72" s="1"/>
  <c r="D67" i="7"/>
  <c r="J49" i="7" l="1"/>
  <c r="J50" i="7" s="1"/>
  <c r="G49" i="7" s="1"/>
  <c r="H50" i="7" s="1"/>
  <c r="I50" i="7" s="1"/>
  <c r="H51" i="7"/>
  <c r="H73" i="7"/>
  <c r="H72" i="7"/>
  <c r="B94" i="7"/>
  <c r="E95" i="7"/>
  <c r="E96" i="7" s="1"/>
  <c r="B95" i="7" s="1"/>
  <c r="C95" i="7" s="1"/>
  <c r="C97" i="7" s="1"/>
  <c r="C96" i="7" s="1"/>
  <c r="J95" i="7"/>
  <c r="J96" i="7" s="1"/>
  <c r="G95" i="7" s="1"/>
  <c r="H96" i="7" s="1"/>
  <c r="I96" i="7" s="1"/>
  <c r="H97" i="7"/>
  <c r="L120" i="7" s="1"/>
  <c r="E140" i="7"/>
  <c r="E141" i="7" s="1"/>
  <c r="B140" i="7" s="1"/>
  <c r="C142" i="7"/>
  <c r="I71" i="72"/>
  <c r="H71" i="72"/>
  <c r="C74" i="7"/>
  <c r="L74" i="7" s="1"/>
  <c r="E72" i="7"/>
  <c r="E73" i="7" s="1"/>
  <c r="B72" i="7" s="1"/>
  <c r="C73" i="7" s="1"/>
  <c r="H74" i="7" l="1"/>
  <c r="I72" i="7"/>
  <c r="L96" i="7"/>
  <c r="D96" i="7"/>
  <c r="C140" i="7"/>
  <c r="C141" i="7"/>
  <c r="D141" i="7"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xml:space="preserve"> </author>
  </authors>
  <commentList>
    <comment ref="D20" authorId="0" shapeId="0" xr:uid="{FC6004B3-5F48-4F84-9933-7334F77D1F9A}">
      <text>
        <r>
          <rPr>
            <b/>
            <sz val="8"/>
            <color indexed="81"/>
            <rFont val="Tahoma"/>
            <family val="2"/>
          </rPr>
          <t xml:space="preserve"> :</t>
        </r>
        <r>
          <rPr>
            <sz val="8"/>
            <color indexed="81"/>
            <rFont val="Tahoma"/>
            <family val="2"/>
          </rPr>
          <t xml:space="preserve">
no hace parte del ingreso base de cotización (IBC)</t>
        </r>
      </text>
    </comment>
    <comment ref="J20" authorId="0" shapeId="0" xr:uid="{B4DD2638-218B-4F8A-861A-02BAF48D86F5}">
      <text>
        <r>
          <rPr>
            <b/>
            <sz val="8"/>
            <color indexed="81"/>
            <rFont val="Tahoma"/>
            <family val="2"/>
          </rPr>
          <t xml:space="preserve"> :</t>
        </r>
        <r>
          <rPr>
            <sz val="8"/>
            <color indexed="81"/>
            <rFont val="Tahoma"/>
            <family val="2"/>
          </rPr>
          <t xml:space="preserve">
no hace parte del ingreso base de cotización (IBC)</t>
        </r>
      </text>
    </comment>
    <comment ref="K20" authorId="0" shapeId="0" xr:uid="{19F36F80-2C2B-4C18-ADE5-C23A4843F163}">
      <text>
        <r>
          <rPr>
            <b/>
            <sz val="8"/>
            <color indexed="81"/>
            <rFont val="Tahoma"/>
            <family val="2"/>
          </rPr>
          <t xml:space="preserve"> :</t>
        </r>
        <r>
          <rPr>
            <sz val="8"/>
            <color indexed="81"/>
            <rFont val="Tahoma"/>
            <family val="2"/>
          </rPr>
          <t xml:space="preserve">
no hace parte del ingreso base de cotización (IBC)</t>
        </r>
      </text>
    </comment>
    <comment ref="D21" authorId="0" shapeId="0" xr:uid="{A1B57B6D-F964-4EDA-848B-6A1007C53A97}">
      <text>
        <r>
          <rPr>
            <b/>
            <sz val="8"/>
            <color indexed="81"/>
            <rFont val="Tahoma"/>
            <family val="2"/>
          </rPr>
          <t xml:space="preserve"> :</t>
        </r>
        <r>
          <rPr>
            <sz val="8"/>
            <color indexed="81"/>
            <rFont val="Tahoma"/>
            <family val="2"/>
          </rPr>
          <t xml:space="preserve">
no hace parte del ingreso base de cotización (IBC)</t>
        </r>
      </text>
    </comment>
    <comment ref="J21" authorId="0" shapeId="0" xr:uid="{84CB14BC-5E86-4A94-B9B7-B0BE2A0E7878}">
      <text>
        <r>
          <rPr>
            <b/>
            <sz val="8"/>
            <color indexed="81"/>
            <rFont val="Tahoma"/>
            <family val="2"/>
          </rPr>
          <t xml:space="preserve"> :</t>
        </r>
        <r>
          <rPr>
            <sz val="8"/>
            <color indexed="81"/>
            <rFont val="Tahoma"/>
            <family val="2"/>
          </rPr>
          <t xml:space="preserve">
no hace parte del ingreso base de cotización (IBC)</t>
        </r>
      </text>
    </comment>
    <comment ref="K21" authorId="0" shapeId="0" xr:uid="{E7C7136F-8BAD-4D5E-873F-404F221DC538}">
      <text>
        <r>
          <rPr>
            <b/>
            <sz val="8"/>
            <color indexed="81"/>
            <rFont val="Tahoma"/>
            <family val="2"/>
          </rPr>
          <t xml:space="preserve"> :</t>
        </r>
        <r>
          <rPr>
            <sz val="8"/>
            <color indexed="81"/>
            <rFont val="Tahoma"/>
            <family val="2"/>
          </rPr>
          <t xml:space="preserve">
no hace parte del ingreso base de cotización (IBC)</t>
        </r>
      </text>
    </comment>
    <comment ref="J31" authorId="0" shapeId="0" xr:uid="{9FE52338-357B-436A-9ABA-8744CFF16BAE}">
      <text>
        <r>
          <rPr>
            <b/>
            <sz val="8"/>
            <color indexed="81"/>
            <rFont val="Tahoma"/>
            <family val="2"/>
          </rPr>
          <t xml:space="preserve"> :</t>
        </r>
        <r>
          <rPr>
            <sz val="8"/>
            <color indexed="81"/>
            <rFont val="Tahoma"/>
            <family val="2"/>
          </rPr>
          <t xml:space="preserve">
no hace parte del ingreso base de cotización (IBC)</t>
        </r>
      </text>
    </comment>
    <comment ref="K31" authorId="0" shapeId="0" xr:uid="{6678F1A6-0EC0-4529-B330-BEACA070E4F6}">
      <text>
        <r>
          <rPr>
            <b/>
            <sz val="8"/>
            <color indexed="81"/>
            <rFont val="Tahoma"/>
            <family val="2"/>
          </rPr>
          <t xml:space="preserve"> :</t>
        </r>
        <r>
          <rPr>
            <sz val="8"/>
            <color indexed="81"/>
            <rFont val="Tahoma"/>
            <family val="2"/>
          </rPr>
          <t xml:space="preserve">
no hace parte del ingreso base de cotización (IBC)</t>
        </r>
      </text>
    </comment>
    <comment ref="J32" authorId="0" shapeId="0" xr:uid="{C2C37F12-EB72-4590-9BEF-4B9806CA9D71}">
      <text>
        <r>
          <rPr>
            <b/>
            <sz val="8"/>
            <color indexed="81"/>
            <rFont val="Tahoma"/>
            <family val="2"/>
          </rPr>
          <t xml:space="preserve"> :</t>
        </r>
        <r>
          <rPr>
            <sz val="8"/>
            <color indexed="81"/>
            <rFont val="Tahoma"/>
            <family val="2"/>
          </rPr>
          <t xml:space="preserve">
Este valor solo es factor para el cálculo, en su momento de pago ya hizo parte del IBC. </t>
        </r>
      </text>
    </comment>
    <comment ref="K32" authorId="0" shapeId="0" xr:uid="{9B6758BB-C878-42BF-AC1E-BAB887FA1FAF}">
      <text>
        <r>
          <rPr>
            <b/>
            <sz val="8"/>
            <color indexed="81"/>
            <rFont val="Tahoma"/>
            <family val="2"/>
          </rPr>
          <t xml:space="preserve"> :</t>
        </r>
        <r>
          <rPr>
            <sz val="8"/>
            <color indexed="81"/>
            <rFont val="Tahoma"/>
            <family val="2"/>
          </rPr>
          <t xml:space="preserve">
Este valor solo es factor para el cálculo, en su momento de pago ya hizo parte del IBC. </t>
        </r>
      </text>
    </comment>
    <comment ref="J33" authorId="0" shapeId="0" xr:uid="{D05E2DFA-9BBE-435A-AC38-A8E9464FFB2E}">
      <text>
        <r>
          <rPr>
            <b/>
            <sz val="8"/>
            <color indexed="81"/>
            <rFont val="Tahoma"/>
            <family val="2"/>
          </rPr>
          <t xml:space="preserve"> :</t>
        </r>
        <r>
          <rPr>
            <sz val="8"/>
            <color indexed="81"/>
            <rFont val="Tahoma"/>
            <family val="2"/>
          </rPr>
          <t xml:space="preserve">
Es un estimulo, por lo tanto no hace parte del IBC</t>
        </r>
      </text>
    </comment>
    <comment ref="K33" authorId="0" shapeId="0" xr:uid="{A3CA0A90-CE71-4E51-B2BD-A043D2639420}">
      <text>
        <r>
          <rPr>
            <b/>
            <sz val="8"/>
            <color indexed="81"/>
            <rFont val="Tahoma"/>
            <family val="2"/>
          </rPr>
          <t xml:space="preserve"> :</t>
        </r>
        <r>
          <rPr>
            <sz val="8"/>
            <color indexed="81"/>
            <rFont val="Tahoma"/>
            <family val="2"/>
          </rPr>
          <t xml:space="preserve">
Es un estimulo, por lo tanto no hace parte del IBC</t>
        </r>
      </text>
    </comment>
    <comment ref="D65" authorId="0" shapeId="0" xr:uid="{F331B091-305A-4FAA-B6E2-AE632EBDA5F6}">
      <text>
        <r>
          <rPr>
            <b/>
            <sz val="8"/>
            <color indexed="81"/>
            <rFont val="Tahoma"/>
            <family val="2"/>
          </rPr>
          <t xml:space="preserve"> :</t>
        </r>
        <r>
          <rPr>
            <sz val="8"/>
            <color indexed="81"/>
            <rFont val="Tahoma"/>
            <family val="2"/>
          </rPr>
          <t xml:space="preserve">
no hace parte del ingreso base de cotización (IBC)</t>
        </r>
      </text>
    </comment>
    <comment ref="J65" authorId="0" shapeId="0" xr:uid="{37DF1620-6AEF-4973-90C7-42B2CCC34BC0}">
      <text>
        <r>
          <rPr>
            <b/>
            <sz val="8"/>
            <color indexed="81"/>
            <rFont val="Tahoma"/>
            <family val="2"/>
          </rPr>
          <t xml:space="preserve"> :</t>
        </r>
        <r>
          <rPr>
            <sz val="8"/>
            <color indexed="81"/>
            <rFont val="Tahoma"/>
            <family val="2"/>
          </rPr>
          <t xml:space="preserve">
no hace parte del ingreso base de cotización (IBC)</t>
        </r>
      </text>
    </comment>
    <comment ref="K65" authorId="0" shapeId="0" xr:uid="{F6105979-4E93-44E4-B470-E6F191F9CF35}">
      <text>
        <r>
          <rPr>
            <b/>
            <sz val="8"/>
            <color indexed="81"/>
            <rFont val="Tahoma"/>
            <family val="2"/>
          </rPr>
          <t xml:space="preserve"> :</t>
        </r>
        <r>
          <rPr>
            <sz val="8"/>
            <color indexed="81"/>
            <rFont val="Tahoma"/>
            <family val="2"/>
          </rPr>
          <t xml:space="preserve">
no hace parte del ingreso base de cotización (IBC)</t>
        </r>
      </text>
    </comment>
    <comment ref="D66" authorId="0" shapeId="0" xr:uid="{126CCFC1-286C-4C2E-BBB1-345ADCD98F45}">
      <text>
        <r>
          <rPr>
            <b/>
            <sz val="8"/>
            <color indexed="81"/>
            <rFont val="Tahoma"/>
            <family val="2"/>
          </rPr>
          <t xml:space="preserve"> :</t>
        </r>
        <r>
          <rPr>
            <sz val="8"/>
            <color indexed="81"/>
            <rFont val="Tahoma"/>
            <family val="2"/>
          </rPr>
          <t xml:space="preserve">
no hace parte del ingreso base de cotización (IBC)</t>
        </r>
      </text>
    </comment>
    <comment ref="J66" authorId="0" shapeId="0" xr:uid="{46DC08FC-5731-4A88-AFFB-85FCCBC8A387}">
      <text>
        <r>
          <rPr>
            <b/>
            <sz val="8"/>
            <color indexed="81"/>
            <rFont val="Tahoma"/>
            <family val="2"/>
          </rPr>
          <t xml:space="preserve"> :</t>
        </r>
        <r>
          <rPr>
            <sz val="8"/>
            <color indexed="81"/>
            <rFont val="Tahoma"/>
            <family val="2"/>
          </rPr>
          <t xml:space="preserve">
Este valor solo es factor para el cálculo, en su momento de pago ya hizo parte del IBC. </t>
        </r>
      </text>
    </comment>
    <comment ref="K66" authorId="0" shapeId="0" xr:uid="{7AD56DAF-FF6A-4D8F-A743-A5B8AF6B7A9C}">
      <text>
        <r>
          <rPr>
            <b/>
            <sz val="8"/>
            <color indexed="81"/>
            <rFont val="Tahoma"/>
            <family val="2"/>
          </rPr>
          <t xml:space="preserve"> :</t>
        </r>
        <r>
          <rPr>
            <sz val="8"/>
            <color indexed="81"/>
            <rFont val="Tahoma"/>
            <family val="2"/>
          </rPr>
          <t xml:space="preserve">
no hace parte del ingreso base de cotización (IBC)</t>
        </r>
      </text>
    </comment>
    <comment ref="K76" authorId="0" shapeId="0" xr:uid="{9D6DBAED-16C4-4E4F-9446-61D7F0DF4B41}">
      <text>
        <r>
          <rPr>
            <b/>
            <sz val="8"/>
            <color indexed="81"/>
            <rFont val="Tahoma"/>
            <family val="2"/>
          </rPr>
          <t xml:space="preserve"> :</t>
        </r>
        <r>
          <rPr>
            <sz val="8"/>
            <color indexed="81"/>
            <rFont val="Tahoma"/>
            <family val="2"/>
          </rPr>
          <t xml:space="preserve">
no hace parte del ingreso base de cotización (IBC)</t>
        </r>
      </text>
    </comment>
    <comment ref="K77" authorId="0" shapeId="0" xr:uid="{5580092B-C8D7-49A2-9BF1-A177C6C24E1B}">
      <text>
        <r>
          <rPr>
            <b/>
            <sz val="8"/>
            <color indexed="81"/>
            <rFont val="Tahoma"/>
            <family val="2"/>
          </rPr>
          <t xml:space="preserve"> :</t>
        </r>
        <r>
          <rPr>
            <sz val="8"/>
            <color indexed="81"/>
            <rFont val="Tahoma"/>
            <family val="2"/>
          </rPr>
          <t xml:space="preserve">
no hace parte del ingreso base de cotización (IBC)</t>
        </r>
      </text>
    </comment>
    <comment ref="J78" authorId="0" shapeId="0" xr:uid="{A77EFB67-FF57-42DF-B61A-FC303C326872}">
      <text>
        <r>
          <rPr>
            <b/>
            <sz val="8"/>
            <color indexed="81"/>
            <rFont val="Tahoma"/>
            <family val="2"/>
          </rPr>
          <t xml:space="preserve"> :</t>
        </r>
        <r>
          <rPr>
            <sz val="8"/>
            <color indexed="81"/>
            <rFont val="Tahoma"/>
            <family val="2"/>
          </rPr>
          <t xml:space="preserve">
Es un estimulo, por lo tanto no hace parte del IBC</t>
        </r>
      </text>
    </comment>
    <comment ref="K78" authorId="0" shapeId="0" xr:uid="{EAB73BAF-D4E0-43A6-AF51-F1102EC445F0}">
      <text>
        <r>
          <rPr>
            <b/>
            <sz val="8"/>
            <color indexed="81"/>
            <rFont val="Tahoma"/>
            <family val="2"/>
          </rPr>
          <t xml:space="preserve"> :</t>
        </r>
        <r>
          <rPr>
            <sz val="8"/>
            <color indexed="81"/>
            <rFont val="Tahoma"/>
            <family val="2"/>
          </rPr>
          <t xml:space="preserve">
Es un estimulo, por lo tanto no hace parte del IBC</t>
        </r>
      </text>
    </comment>
    <comment ref="D110" authorId="0" shapeId="0" xr:uid="{9D58A11F-CFBA-4510-8C2B-3896A3091A34}">
      <text>
        <r>
          <rPr>
            <b/>
            <sz val="8"/>
            <color indexed="81"/>
            <rFont val="Tahoma"/>
            <family val="2"/>
          </rPr>
          <t xml:space="preserve"> :</t>
        </r>
        <r>
          <rPr>
            <sz val="8"/>
            <color indexed="81"/>
            <rFont val="Tahoma"/>
            <family val="2"/>
          </rPr>
          <t xml:space="preserve">
no hace parte del ingreso base de cotización (IBC)</t>
        </r>
      </text>
    </comment>
    <comment ref="J110" authorId="0" shapeId="0" xr:uid="{A623F92D-45AE-4C04-836A-C62FA1F544F3}">
      <text>
        <r>
          <rPr>
            <b/>
            <sz val="8"/>
            <color indexed="81"/>
            <rFont val="Tahoma"/>
            <family val="2"/>
          </rPr>
          <t xml:space="preserve"> :</t>
        </r>
        <r>
          <rPr>
            <sz val="8"/>
            <color indexed="81"/>
            <rFont val="Tahoma"/>
            <family val="2"/>
          </rPr>
          <t xml:space="preserve">
no hace parte del ingreso base de cotización (IBC)</t>
        </r>
      </text>
    </comment>
    <comment ref="K110" authorId="0" shapeId="0" xr:uid="{735A5A72-EECB-439D-89B1-CB5BE3B1BA07}">
      <text>
        <r>
          <rPr>
            <b/>
            <sz val="8"/>
            <color indexed="81"/>
            <rFont val="Tahoma"/>
            <family val="2"/>
          </rPr>
          <t xml:space="preserve"> :</t>
        </r>
        <r>
          <rPr>
            <sz val="8"/>
            <color indexed="81"/>
            <rFont val="Tahoma"/>
            <family val="2"/>
          </rPr>
          <t xml:space="preserve">
no hace parte del ingreso base de cotización (IBC)</t>
        </r>
      </text>
    </comment>
    <comment ref="D111" authorId="0" shapeId="0" xr:uid="{56BBB150-7164-4A9A-A513-86CDE7213934}">
      <text>
        <r>
          <rPr>
            <b/>
            <sz val="8"/>
            <color indexed="81"/>
            <rFont val="Tahoma"/>
            <family val="2"/>
          </rPr>
          <t xml:space="preserve"> :</t>
        </r>
        <r>
          <rPr>
            <sz val="8"/>
            <color indexed="81"/>
            <rFont val="Tahoma"/>
            <family val="2"/>
          </rPr>
          <t xml:space="preserve">
no hace parte del ingreso base de cotización (IBC)</t>
        </r>
      </text>
    </comment>
    <comment ref="J111" authorId="0" shapeId="0" xr:uid="{771837AE-9138-4890-A1B9-1F02D4F7ED4A}">
      <text>
        <r>
          <rPr>
            <b/>
            <sz val="8"/>
            <color indexed="81"/>
            <rFont val="Tahoma"/>
            <family val="2"/>
          </rPr>
          <t xml:space="preserve"> :</t>
        </r>
        <r>
          <rPr>
            <sz val="8"/>
            <color indexed="81"/>
            <rFont val="Tahoma"/>
            <family val="2"/>
          </rPr>
          <t xml:space="preserve">
Este valor solo es factor para el cálculo, en su momento de pago ya hizo parte del IBC. </t>
        </r>
      </text>
    </comment>
    <comment ref="K111" authorId="0" shapeId="0" xr:uid="{BB3D6B42-1389-48E1-A1C3-A037DFDAFBB2}">
      <text>
        <r>
          <rPr>
            <b/>
            <sz val="8"/>
            <color indexed="81"/>
            <rFont val="Tahoma"/>
            <family val="2"/>
          </rPr>
          <t xml:space="preserve"> :</t>
        </r>
        <r>
          <rPr>
            <sz val="8"/>
            <color indexed="81"/>
            <rFont val="Tahoma"/>
            <family val="2"/>
          </rPr>
          <t xml:space="preserve">
no hace parte del ingreso base de cotización (IBC)</t>
        </r>
      </text>
    </comment>
    <comment ref="K121" authorId="0" shapeId="0" xr:uid="{1B298C35-DC2D-4EBB-A065-72E9D7A08A12}">
      <text>
        <r>
          <rPr>
            <b/>
            <sz val="8"/>
            <color indexed="81"/>
            <rFont val="Tahoma"/>
            <family val="2"/>
          </rPr>
          <t xml:space="preserve"> :</t>
        </r>
        <r>
          <rPr>
            <sz val="8"/>
            <color indexed="81"/>
            <rFont val="Tahoma"/>
            <family val="2"/>
          </rPr>
          <t xml:space="preserve">
no hace parte del ingreso base de cotización (IBC)</t>
        </r>
      </text>
    </comment>
    <comment ref="K122" authorId="0" shapeId="0" xr:uid="{19C4CC0F-3B11-48EF-9256-70C2A476A80D}">
      <text>
        <r>
          <rPr>
            <b/>
            <sz val="8"/>
            <color indexed="81"/>
            <rFont val="Tahoma"/>
            <family val="2"/>
          </rPr>
          <t xml:space="preserve"> :</t>
        </r>
        <r>
          <rPr>
            <sz val="8"/>
            <color indexed="81"/>
            <rFont val="Tahoma"/>
            <family val="2"/>
          </rPr>
          <t xml:space="preserve">
no hace parte del ingreso base de cotización (IBC)</t>
        </r>
      </text>
    </comment>
    <comment ref="J123" authorId="0" shapeId="0" xr:uid="{A0B68A5D-7877-4952-B724-D70EA79DDF0A}">
      <text>
        <r>
          <rPr>
            <b/>
            <sz val="8"/>
            <color indexed="81"/>
            <rFont val="Tahoma"/>
            <family val="2"/>
          </rPr>
          <t xml:space="preserve"> :</t>
        </r>
        <r>
          <rPr>
            <sz val="8"/>
            <color indexed="81"/>
            <rFont val="Tahoma"/>
            <family val="2"/>
          </rPr>
          <t xml:space="preserve">
Es un estimulo, por lo tanto no hace parte del IBC</t>
        </r>
      </text>
    </comment>
    <comment ref="K123" authorId="0" shapeId="0" xr:uid="{7795D7DD-AA8A-4C34-87EA-5BA0E7A010D4}">
      <text>
        <r>
          <rPr>
            <b/>
            <sz val="8"/>
            <color indexed="81"/>
            <rFont val="Tahoma"/>
            <family val="2"/>
          </rPr>
          <t xml:space="preserve"> :</t>
        </r>
        <r>
          <rPr>
            <sz val="8"/>
            <color indexed="81"/>
            <rFont val="Tahoma"/>
            <family val="2"/>
          </rPr>
          <t xml:space="preserve">
Es un estimulo, por lo tanto no hace parte del IBC</t>
        </r>
      </text>
    </comment>
    <comment ref="D154" authorId="0" shapeId="0" xr:uid="{E0DA290A-2972-4219-A427-9C0D801F1E73}">
      <text>
        <r>
          <rPr>
            <b/>
            <sz val="8"/>
            <color indexed="81"/>
            <rFont val="Tahoma"/>
            <family val="2"/>
          </rPr>
          <t xml:space="preserve"> :</t>
        </r>
        <r>
          <rPr>
            <sz val="8"/>
            <color indexed="81"/>
            <rFont val="Tahoma"/>
            <family val="2"/>
          </rPr>
          <t xml:space="preserve">
no hace parte del ingreso base de cotización (IBC)</t>
        </r>
      </text>
    </comment>
    <comment ref="D155" authorId="0" shapeId="0" xr:uid="{41728C98-3A9F-4603-B5FC-4A84EC2229DA}">
      <text>
        <r>
          <rPr>
            <b/>
            <sz val="8"/>
            <color indexed="81"/>
            <rFont val="Tahoma"/>
            <family val="2"/>
          </rPr>
          <t xml:space="preserve"> :</t>
        </r>
        <r>
          <rPr>
            <sz val="8"/>
            <color indexed="81"/>
            <rFont val="Tahoma"/>
            <family val="2"/>
          </rPr>
          <t xml:space="preserve">
Este valor solo es factor para el cálculo, en su momento de pago ya hizo parte del IBC. </t>
        </r>
      </text>
    </comment>
    <comment ref="D198" authorId="0" shapeId="0" xr:uid="{97332DB4-D579-4995-8189-FB497844A645}">
      <text>
        <r>
          <rPr>
            <b/>
            <sz val="8"/>
            <color indexed="81"/>
            <rFont val="Tahoma"/>
            <family val="2"/>
          </rPr>
          <t xml:space="preserve"> :</t>
        </r>
        <r>
          <rPr>
            <sz val="8"/>
            <color indexed="81"/>
            <rFont val="Tahoma"/>
            <family val="2"/>
          </rPr>
          <t xml:space="preserve">
no hace parte del ingreso base de cotización (IBC)</t>
        </r>
      </text>
    </comment>
    <comment ref="D199" authorId="0" shapeId="0" xr:uid="{9D460C8B-84F0-4904-A115-6E3E4618FED8}">
      <text>
        <r>
          <rPr>
            <b/>
            <sz val="8"/>
            <color indexed="81"/>
            <rFont val="Tahoma"/>
            <family val="2"/>
          </rPr>
          <t xml:space="preserve"> :</t>
        </r>
        <r>
          <rPr>
            <sz val="8"/>
            <color indexed="81"/>
            <rFont val="Tahoma"/>
            <family val="2"/>
          </rPr>
          <t xml:space="preserve">
Este valor solo es factor para el cálculo, en su momento de pago ya hizo parte del IBC. </t>
        </r>
      </text>
    </comment>
    <comment ref="D242" authorId="0" shapeId="0" xr:uid="{ED054779-AB46-4F76-81FA-1AA79E0D8271}">
      <text>
        <r>
          <rPr>
            <b/>
            <sz val="8"/>
            <color indexed="81"/>
            <rFont val="Tahoma"/>
            <family val="2"/>
          </rPr>
          <t xml:space="preserve"> :</t>
        </r>
        <r>
          <rPr>
            <sz val="8"/>
            <color indexed="81"/>
            <rFont val="Tahoma"/>
            <family val="2"/>
          </rPr>
          <t xml:space="preserve">
no hace parte del ingreso base de cotización (IBC)</t>
        </r>
      </text>
    </comment>
    <comment ref="D243" authorId="0" shapeId="0" xr:uid="{BFEE7216-3CBE-4BDD-8C75-B56A94F50A29}">
      <text>
        <r>
          <rPr>
            <b/>
            <sz val="8"/>
            <color indexed="81"/>
            <rFont val="Tahoma"/>
            <family val="2"/>
          </rPr>
          <t xml:space="preserve"> :</t>
        </r>
        <r>
          <rPr>
            <sz val="8"/>
            <color indexed="81"/>
            <rFont val="Tahoma"/>
            <family val="2"/>
          </rPr>
          <t xml:space="preserve">
Este valor solo es factor para el cálculo, en su momento de pago ya hizo parte del IBC. </t>
        </r>
      </text>
    </comment>
    <comment ref="D286" authorId="0" shapeId="0" xr:uid="{EBED26EF-AC89-4229-BB3B-489DC2CADCF3}">
      <text>
        <r>
          <rPr>
            <b/>
            <sz val="8"/>
            <color indexed="81"/>
            <rFont val="Tahoma"/>
            <family val="2"/>
          </rPr>
          <t xml:space="preserve"> :</t>
        </r>
        <r>
          <rPr>
            <sz val="8"/>
            <color indexed="81"/>
            <rFont val="Tahoma"/>
            <family val="2"/>
          </rPr>
          <t xml:space="preserve">
no hace parte del ingreso base de cotización (IBC)</t>
        </r>
      </text>
    </comment>
    <comment ref="D287" authorId="0" shapeId="0" xr:uid="{E690EAE9-3C6F-4B00-B29A-A21623C98619}">
      <text>
        <r>
          <rPr>
            <b/>
            <sz val="8"/>
            <color indexed="81"/>
            <rFont val="Tahoma"/>
            <family val="2"/>
          </rPr>
          <t xml:space="preserve"> :</t>
        </r>
        <r>
          <rPr>
            <sz val="8"/>
            <color indexed="81"/>
            <rFont val="Tahoma"/>
            <family val="2"/>
          </rPr>
          <t xml:space="preserve">
Este valor solo es factor para el cálculo, en su momento de pago ya hizo parte del IBC. </t>
        </r>
      </text>
    </comment>
    <comment ref="D361" authorId="0" shapeId="0" xr:uid="{442F5CE7-16D3-4BE9-ADA0-B0E60107912D}">
      <text>
        <r>
          <rPr>
            <b/>
            <sz val="8"/>
            <color indexed="81"/>
            <rFont val="Tahoma"/>
            <family val="2"/>
          </rPr>
          <t xml:space="preserve"> :</t>
        </r>
        <r>
          <rPr>
            <sz val="8"/>
            <color indexed="81"/>
            <rFont val="Tahoma"/>
            <family val="2"/>
          </rPr>
          <t xml:space="preserve">
no hace parte del ingreso base de cotización (IBC)</t>
        </r>
      </text>
    </comment>
    <comment ref="D362" authorId="0" shapeId="0" xr:uid="{256FD977-404E-4C9D-A3FE-30867E6DD954}">
      <text>
        <r>
          <rPr>
            <b/>
            <sz val="8"/>
            <color indexed="81"/>
            <rFont val="Tahoma"/>
            <family val="2"/>
          </rPr>
          <t xml:space="preserve"> :</t>
        </r>
        <r>
          <rPr>
            <sz val="8"/>
            <color indexed="81"/>
            <rFont val="Tahoma"/>
            <family val="2"/>
          </rPr>
          <t xml:space="preserve">
no hace parte del ingreso base de cotización (IBC)</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
    <author>RCampos</author>
    <author>Hogar</author>
  </authors>
  <commentList>
    <comment ref="I8" authorId="0" shapeId="0" xr:uid="{7EFA6A4B-73F5-4D1C-BFE0-B32B5270DDCB}">
      <text>
        <r>
          <rPr>
            <sz val="8"/>
            <color indexed="8"/>
            <rFont val="Times New Roman"/>
            <family val="1"/>
          </rPr>
          <t xml:space="preserve">SE TOMA LA ASIGNACION BASICA MENOS PAGO PENSION EMPLEADO- FONDO DE SOLIDARIDAD O APORTE PENSION VOLUNTARIA
</t>
        </r>
      </text>
    </comment>
    <comment ref="D15" authorId="0" shapeId="0" xr:uid="{74308D2A-B10B-46C6-BA41-2C28E635A6EB}">
      <text>
        <r>
          <rPr>
            <b/>
            <sz val="8"/>
            <color indexed="8"/>
            <rFont val="Times New Roman"/>
            <family val="1"/>
          </rPr>
          <t xml:space="preserve">Deissy Murcia:
</t>
        </r>
        <r>
          <rPr>
            <sz val="8"/>
            <color indexed="8"/>
            <rFont val="Times New Roman"/>
            <family val="1"/>
          </rPr>
          <t>SE TOMA EL 25%  DE PAGOS LABORALES COMO EXENTOS   DE ACUERDO AL ART. 206 DEL E.T.</t>
        </r>
      </text>
    </comment>
    <comment ref="I15" authorId="0" shapeId="0" xr:uid="{02F77BF6-8E84-42E8-9DBC-9733448B5E6D}">
      <text>
        <r>
          <rPr>
            <sz val="8"/>
            <color indexed="8"/>
            <rFont val="Times New Roman"/>
            <family val="1"/>
          </rPr>
          <t>SE TOMA EL 25%  DE PAGOS LABORALES COMO EXENTOS   DE ACUERDO AL ART. 206 DEL E.T.</t>
        </r>
      </text>
    </comment>
    <comment ref="D32" authorId="0" shapeId="0" xr:uid="{43033852-C412-431D-9AEA-29ED74916EEE}">
      <text>
        <r>
          <rPr>
            <sz val="8"/>
            <color indexed="8"/>
            <rFont val="Times New Roman"/>
            <family val="1"/>
          </rPr>
          <t>SE TOMA LA ASIGNACION BASICA MENOS PAGO PENSION EMPLEADO- FONDO DE SOLIDARIDAD O APORTE PENSION VOLUNTARIA</t>
        </r>
      </text>
    </comment>
    <comment ref="I32" authorId="0" shapeId="0" xr:uid="{4CF7DB30-426C-4CE1-B739-0B1F0B5082F0}">
      <text>
        <r>
          <rPr>
            <sz val="8"/>
            <color indexed="8"/>
            <rFont val="Times New Roman"/>
            <family val="1"/>
          </rPr>
          <t xml:space="preserve">SE TOMA LA ASIGNACION BASICA MENOS PAGO PENSION EMPLEADO- FONDO DE SOLIDARIDAD O APORTE PENSION VOLUNTARIA
</t>
        </r>
      </text>
    </comment>
    <comment ref="D39" authorId="0" shapeId="0" xr:uid="{E5D6EC94-E7A8-40CC-AB33-A9740F671599}">
      <text>
        <r>
          <rPr>
            <sz val="8"/>
            <color indexed="8"/>
            <rFont val="Times New Roman"/>
            <family val="1"/>
          </rPr>
          <t>SE TOMA EL 25%  DE PAGOS LABORALES COMO EXENTOS   DE ACUERDO AL ART. 206 DEL E.T.</t>
        </r>
      </text>
    </comment>
    <comment ref="I39" authorId="0" shapeId="0" xr:uid="{CCB6A0D2-680A-476B-9427-DDB45393CD96}">
      <text>
        <r>
          <rPr>
            <sz val="8"/>
            <color indexed="8"/>
            <rFont val="Times New Roman"/>
            <family val="1"/>
          </rPr>
          <t>SE TOMA EL 25%  DE PAGOS LABORALES COMO EXENTOS   DE ACUERDO AL ART. 206 DEL E.T.</t>
        </r>
      </text>
    </comment>
    <comment ref="J41" authorId="1" shapeId="0" xr:uid="{51E283B6-15C9-463A-960D-96F551E4980C}">
      <text>
        <r>
          <rPr>
            <b/>
            <sz val="8"/>
            <color indexed="81"/>
            <rFont val="Tahoma"/>
            <family val="2"/>
          </rPr>
          <t>RCampos:</t>
        </r>
        <r>
          <rPr>
            <sz val="8"/>
            <color indexed="81"/>
            <rFont val="Tahoma"/>
            <family val="2"/>
          </rPr>
          <t xml:space="preserve">
Pagos por salud y educación hasta el 15% de los ingresos laborales gravados.</t>
        </r>
      </text>
    </comment>
    <comment ref="D55" authorId="0" shapeId="0" xr:uid="{D9DC2446-3AF9-4E6B-ABB7-7267953BD6A0}">
      <text>
        <r>
          <rPr>
            <b/>
            <sz val="8"/>
            <color indexed="8"/>
            <rFont val="Times New Roman"/>
            <family val="1"/>
          </rPr>
          <t xml:space="preserve">Deissy Murcia:
</t>
        </r>
        <r>
          <rPr>
            <sz val="8"/>
            <color indexed="8"/>
            <rFont val="Times New Roman"/>
            <family val="1"/>
          </rPr>
          <t xml:space="preserve">SE TOMA LA ASIGNACION BASICA MENOS PAGO PENSION EMPLEADO- FONDO DE SOLIDARIDAD O APORTE PENSION VOLUNTARIA
</t>
        </r>
      </text>
    </comment>
    <comment ref="I55" authorId="0" shapeId="0" xr:uid="{176E1077-6BCC-42C6-9915-D7897A9D86B1}">
      <text>
        <r>
          <rPr>
            <sz val="8"/>
            <color indexed="8"/>
            <rFont val="Times New Roman"/>
            <family val="1"/>
          </rPr>
          <t xml:space="preserve">SE TOMA LA ASIGNACION BASICA MENOS PAGO PENSION EMPLEADO- FONDO DE SOLIDARIDAD O APORTE PENSION VOLUNTARIA
</t>
        </r>
      </text>
    </comment>
    <comment ref="D62" authorId="0" shapeId="0" xr:uid="{E1678AA1-3DBB-432F-9440-709F1A47D7EC}">
      <text>
        <r>
          <rPr>
            <sz val="8"/>
            <color indexed="8"/>
            <rFont val="Times New Roman"/>
            <family val="1"/>
          </rPr>
          <t>SE TOMA EL 25%  DE PAGOS LABORALES COMO EXENTOS   DE ACUERDO AL ART. 206 DEL E.T.</t>
        </r>
      </text>
    </comment>
    <comment ref="E62" authorId="2" shapeId="0" xr:uid="{3D896150-07ED-4D8E-BFB9-64B4FF8B0903}">
      <text>
        <r>
          <rPr>
            <b/>
            <sz val="8"/>
            <color indexed="81"/>
            <rFont val="Tahoma"/>
            <family val="2"/>
          </rPr>
          <t>Hogar:</t>
        </r>
        <r>
          <rPr>
            <sz val="8"/>
            <color indexed="81"/>
            <rFont val="Tahoma"/>
            <family val="2"/>
          </rPr>
          <t xml:space="preserve">
</t>
        </r>
      </text>
    </comment>
    <comment ref="I62" authorId="0" shapeId="0" xr:uid="{C15B8083-32AE-442C-8214-DEAF1B22E20B}">
      <text>
        <r>
          <rPr>
            <sz val="8"/>
            <color indexed="8"/>
            <rFont val="Times New Roman"/>
            <family val="1"/>
          </rPr>
          <t>SE TOMA EL 25%  DE PAGOS LABORALES COMO EXENTOS   DE ACUERDO AL ART. 206 DEL E.T.</t>
        </r>
      </text>
    </comment>
    <comment ref="E64" authorId="1" shapeId="0" xr:uid="{6BE2AD19-AE36-4B27-9173-920ED4DA3E3F}">
      <text>
        <r>
          <rPr>
            <b/>
            <sz val="8"/>
            <color indexed="81"/>
            <rFont val="Tahoma"/>
            <family val="2"/>
          </rPr>
          <t>RCampos:</t>
        </r>
        <r>
          <rPr>
            <sz val="8"/>
            <color indexed="81"/>
            <rFont val="Tahoma"/>
            <family val="2"/>
          </rPr>
          <t xml:space="preserve">
Pagos por salud y educación hasta el 15% de los ingresos laborales gravados.</t>
        </r>
      </text>
    </comment>
    <comment ref="D79" authorId="0" shapeId="0" xr:uid="{09A20FEB-FB51-4293-9578-1C5B484A1021}">
      <text>
        <r>
          <rPr>
            <sz val="8"/>
            <color indexed="8"/>
            <rFont val="Times New Roman"/>
            <family val="1"/>
          </rPr>
          <t xml:space="preserve">SE TOMA LA ASIGNACION BASICA MENOS PAGO PENSION EMPLEADO- FONDO DE SOLIDARIDAD O APORTE PENSION VOLUNTARIA
</t>
        </r>
      </text>
    </comment>
    <comment ref="I79" authorId="0" shapeId="0" xr:uid="{42B84F43-F9F4-4FD7-98FA-EAFEA32868CF}">
      <text>
        <r>
          <rPr>
            <sz val="8"/>
            <color indexed="8"/>
            <rFont val="Times New Roman"/>
            <family val="1"/>
          </rPr>
          <t xml:space="preserve">SE TOMA LA ASIGNACION BASICA MENOS PAGO PENSION EMPLEADO- FONDO DE SOLIDARIDAD O APORTE PENSION VOLUNTARIA
</t>
        </r>
      </text>
    </comment>
    <comment ref="D86" authorId="0" shapeId="0" xr:uid="{A7DC0F19-BE3F-4848-9083-DB2A65D3706C}">
      <text>
        <r>
          <rPr>
            <sz val="8"/>
            <color indexed="8"/>
            <rFont val="Times New Roman"/>
            <family val="1"/>
          </rPr>
          <t>SE TOMA EL 25%  DE PAGOS LABORALES COMO EXENTOS   DE ACUERDO AL ART. 206 DEL E.T.</t>
        </r>
      </text>
    </comment>
    <comment ref="I86" authorId="0" shapeId="0" xr:uid="{C06923AD-83A2-4D06-A6BC-C85FEBF9ED48}">
      <text>
        <r>
          <rPr>
            <b/>
            <sz val="8"/>
            <color indexed="8"/>
            <rFont val="Times New Roman"/>
            <family val="1"/>
          </rPr>
          <t xml:space="preserve">Deissy Murcia:
</t>
        </r>
        <r>
          <rPr>
            <sz val="8"/>
            <color indexed="8"/>
            <rFont val="Times New Roman"/>
            <family val="1"/>
          </rPr>
          <t>SE TOMA EL 25%  DE PAGOS LABORALES COMO EXENTOS   DE ACUERDO AL ART. 206 DEL E.T.</t>
        </r>
      </text>
    </comment>
    <comment ref="J87" authorId="1" shapeId="0" xr:uid="{38C9FCE2-06A9-44EB-91D3-FEA2CBD0EA8E}">
      <text>
        <r>
          <rPr>
            <b/>
            <sz val="8"/>
            <color indexed="81"/>
            <rFont val="Tahoma"/>
            <family val="2"/>
          </rPr>
          <t>RCampos:</t>
        </r>
        <r>
          <rPr>
            <sz val="8"/>
            <color indexed="81"/>
            <rFont val="Tahoma"/>
            <family val="2"/>
          </rPr>
          <t xml:space="preserve">
Pagos por salud y educación hasta el 15% de los ingresos laborales gravados.</t>
        </r>
      </text>
    </comment>
    <comment ref="D102" authorId="0" shapeId="0" xr:uid="{9168ACC7-E5EB-421D-A46D-A51800D260CB}">
      <text>
        <r>
          <rPr>
            <sz val="8"/>
            <color indexed="8"/>
            <rFont val="Times New Roman"/>
            <family val="1"/>
          </rPr>
          <t>SE TOMA LA ASIGNACION BASICA MENOS PAGO PENSION EMPLEADO- FONDO DE SOLIDARIDAD O APORTE PENSION VOLUNTARIA</t>
        </r>
      </text>
    </comment>
    <comment ref="I102" authorId="0" shapeId="0" xr:uid="{9B895AF2-2BE9-407E-93CC-D7CD905237AE}">
      <text>
        <r>
          <rPr>
            <sz val="8"/>
            <color indexed="8"/>
            <rFont val="Times New Roman"/>
            <family val="1"/>
          </rPr>
          <t xml:space="preserve">SE TOMA LA ASIGNACION BASICA MENOS PAGO PENSION EMPLEADO- FONDO DE SOLIDARIDAD O APORTE PENSION VOLUNTARIA
</t>
        </r>
      </text>
    </comment>
    <comment ref="D109" authorId="0" shapeId="0" xr:uid="{4F2B7C31-CF5D-43F9-92A2-A52F517B84AD}">
      <text>
        <r>
          <rPr>
            <sz val="8"/>
            <color indexed="8"/>
            <rFont val="Times New Roman"/>
            <family val="1"/>
          </rPr>
          <t>SE TOMA EL 25%  DE PAGOS LABORALES COMO EXENTOS   DE ACUERDO AL ART. 206 DEL E.T.</t>
        </r>
      </text>
    </comment>
    <comment ref="I109" authorId="0" shapeId="0" xr:uid="{338D17D9-6BC5-4299-815E-8769C1AE01E6}">
      <text>
        <r>
          <rPr>
            <sz val="8"/>
            <color indexed="8"/>
            <rFont val="Times New Roman"/>
            <family val="1"/>
          </rPr>
          <t>SE TOMA EL 25%  DE PAGOS LABORALES COMO EXENTOS   DE ACUERDO AL ART. 206 DEL E.T.</t>
        </r>
      </text>
    </comment>
    <comment ref="J111" authorId="1" shapeId="0" xr:uid="{3990145C-2AB2-4FFA-B452-9FD563D7F754}">
      <text>
        <r>
          <rPr>
            <b/>
            <sz val="8"/>
            <color indexed="81"/>
            <rFont val="Tahoma"/>
            <family val="2"/>
          </rPr>
          <t>RCampos:</t>
        </r>
        <r>
          <rPr>
            <sz val="8"/>
            <color indexed="81"/>
            <rFont val="Tahoma"/>
            <family val="2"/>
          </rPr>
          <t xml:space="preserve">
Pagos por salud y educación hasta el 15% de los ingresos laborales gravados.</t>
        </r>
      </text>
    </comment>
    <comment ref="D124" authorId="0" shapeId="0" xr:uid="{15C98A5A-E710-4EB1-B5C2-B9E8AE7BAF04}">
      <text>
        <r>
          <rPr>
            <sz val="8"/>
            <color indexed="8"/>
            <rFont val="Times New Roman"/>
            <family val="1"/>
          </rPr>
          <t xml:space="preserve">SE TOMA LA ASIGNACION BASICA MENOS PAGO PENSION EMPLEADO- FONDO DE SOLIDARIDAD O APORTE PENSION VOLUNTARIA
</t>
        </r>
      </text>
    </comment>
    <comment ref="I124" authorId="0" shapeId="0" xr:uid="{DF7B765B-7572-4582-A6C4-8887AA805E34}">
      <text>
        <r>
          <rPr>
            <sz val="8"/>
            <color indexed="8"/>
            <rFont val="Times New Roman"/>
            <family val="1"/>
          </rPr>
          <t xml:space="preserve">SE TOMA LA ASIGNACION BASICA MENOS PAGO PENSION EMPLEADO- FONDO DE SOLIDARIDAD O APORTE PENSION VOLUNTARIA
</t>
        </r>
      </text>
    </comment>
    <comment ref="D131" authorId="0" shapeId="0" xr:uid="{7CFA58D7-F680-4CCC-B88F-7E9C6FFA5D63}">
      <text>
        <r>
          <rPr>
            <sz val="8"/>
            <color indexed="8"/>
            <rFont val="Times New Roman"/>
            <family val="1"/>
          </rPr>
          <t>SE TOMA EL 25%  DE PAGOS LABORALES COMO EXENTOS   DE ACUERDO AL ART. 206 DEL E.T.</t>
        </r>
      </text>
    </comment>
    <comment ref="I131" authorId="0" shapeId="0" xr:uid="{29DE20EE-15AC-41E7-B471-4E708A789394}">
      <text>
        <r>
          <rPr>
            <sz val="8"/>
            <color indexed="8"/>
            <rFont val="Times New Roman"/>
            <family val="1"/>
          </rPr>
          <t>SE TOMA EL 25%  DE PAGOS LABORALES COMO EXENTOS   DE ACUERDO AL ART. 206 DEL E.T.</t>
        </r>
      </text>
    </comment>
    <comment ref="D147" authorId="0" shapeId="0" xr:uid="{7647107E-5CCC-4B53-BD1C-1C09975B8A60}">
      <text>
        <r>
          <rPr>
            <sz val="8"/>
            <color indexed="8"/>
            <rFont val="Times New Roman"/>
            <family val="1"/>
          </rPr>
          <t xml:space="preserve">SE TOMA LA ASIGNACION BASICA MENOS PAGO PENSION EMPLEADO- FONDO DE SOLIDARIDAD O APORTE PENSION VOLUNTARIA
</t>
        </r>
      </text>
    </comment>
    <comment ref="I147" authorId="0" shapeId="0" xr:uid="{4049E7F8-F425-4AA2-ACFC-74A0303809ED}">
      <text>
        <r>
          <rPr>
            <sz val="8"/>
            <color indexed="8"/>
            <rFont val="Times New Roman"/>
            <family val="1"/>
          </rPr>
          <t xml:space="preserve">SE TOMA LA ASIGNACION BASICA MENOS PAGO PENSION EMPLEADO- FONDO DE SOLIDARIDAD O APORTE PENSION VOLUNTARIA
</t>
        </r>
      </text>
    </comment>
    <comment ref="D154" authorId="0" shapeId="0" xr:uid="{47225D97-BC49-45F2-9222-6415BE4E2753}">
      <text>
        <r>
          <rPr>
            <sz val="8"/>
            <color indexed="8"/>
            <rFont val="Times New Roman"/>
            <family val="1"/>
          </rPr>
          <t>SE TOMA EL 25%  DE PAGOS LABORALES COMO EXENTOS   DE ACUERDO AL ART. 206 DEL E.T.</t>
        </r>
      </text>
    </comment>
    <comment ref="I154" authorId="0" shapeId="0" xr:uid="{1ADA622F-F021-4809-8C0F-92F5BE4A23DB}">
      <text>
        <r>
          <rPr>
            <sz val="8"/>
            <color indexed="8"/>
            <rFont val="Times New Roman"/>
            <family val="1"/>
          </rPr>
          <t>SE TOMA EL 25%  DE PAGOS LABORALES COMO EXENTOS   DE ACUERDO AL ART. 206 DEL E.T.</t>
        </r>
      </text>
    </comment>
    <comment ref="D170" authorId="0" shapeId="0" xr:uid="{64665B36-22BB-4237-AC30-ACB6D8F89C1B}">
      <text>
        <r>
          <rPr>
            <sz val="8"/>
            <color indexed="8"/>
            <rFont val="Times New Roman"/>
            <family val="1"/>
          </rPr>
          <t xml:space="preserve">SE TOMA LA ASIGNACION BASICA MENOS PAGO PENSION EMPLEADO- FONDO DE SOLIDARIDAD O APORTE PENSION VOLUNTARIA
</t>
        </r>
      </text>
    </comment>
    <comment ref="I170" authorId="0" shapeId="0" xr:uid="{B23CF529-6B5A-4429-A334-BFD8033C614E}">
      <text>
        <r>
          <rPr>
            <sz val="8"/>
            <color indexed="8"/>
            <rFont val="Times New Roman"/>
            <family val="1"/>
          </rPr>
          <t xml:space="preserve">SE TOMA LA ASIGNACION BASICA MENOS PAGO PENSION EMPLEADO- FONDO DE SOLIDARIDAD O APORTE PENSION VOLUNTARIA
</t>
        </r>
      </text>
    </comment>
    <comment ref="D177" authorId="0" shapeId="0" xr:uid="{78435D75-F0E0-45BD-AFB8-42D015055C8F}">
      <text>
        <r>
          <rPr>
            <sz val="8"/>
            <color indexed="8"/>
            <rFont val="Times New Roman"/>
            <family val="1"/>
          </rPr>
          <t>SE TOMA EL 25%  DE PAGOS LABORALES COMO EXENTOS   DE ACUERDO AL ART. 206 DEL E.T.</t>
        </r>
      </text>
    </comment>
    <comment ref="I177" authorId="0" shapeId="0" xr:uid="{89C32291-C6F6-46FE-9D35-3F207360612F}">
      <text>
        <r>
          <rPr>
            <sz val="8"/>
            <color indexed="8"/>
            <rFont val="Times New Roman"/>
            <family val="1"/>
          </rPr>
          <t>SE TOMA EL 25%  DE PAGOS LABORALES COMO EXENTOS   DE ACUERDO AL ART. 206 DEL E.T.</t>
        </r>
      </text>
    </comment>
    <comment ref="D192" authorId="0" shapeId="0" xr:uid="{5DFB85B5-4547-4ADE-9493-B3B909A17E45}">
      <text>
        <r>
          <rPr>
            <sz val="8"/>
            <color indexed="8"/>
            <rFont val="Times New Roman"/>
            <family val="1"/>
          </rPr>
          <t xml:space="preserve">SE TOMA LA ASIGNACION BASICA MENOS PAGO PENSION EMPLEADO- FONDO DE SOLIDARIDAD O APORTE PENSION VOLUNTARIA
</t>
        </r>
      </text>
    </comment>
    <comment ref="I192" authorId="0" shapeId="0" xr:uid="{E1ED2B58-75DA-4970-A1C9-FC49484E9587}">
      <text>
        <r>
          <rPr>
            <sz val="8"/>
            <color indexed="8"/>
            <rFont val="Times New Roman"/>
            <family val="1"/>
          </rPr>
          <t xml:space="preserve">SE TOMA LA ASIGNACION BASICA MENOS PAGO PENSION EMPLEADO- FONDO DE SOLIDARIDAD O APORTE PENSION VOLUNTARIA
</t>
        </r>
      </text>
    </comment>
    <comment ref="D199" authorId="0" shapeId="0" xr:uid="{2AF44BB4-42BA-402E-AA2B-916FDF2CA91E}">
      <text>
        <r>
          <rPr>
            <sz val="8"/>
            <color indexed="8"/>
            <rFont val="Times New Roman"/>
            <family val="1"/>
          </rPr>
          <t>SE TOMA EL 25%  DE PAGOS LABORALES COMO EXENTOS   DE ACUERDO AL ART. 206 DEL E.T.</t>
        </r>
      </text>
    </comment>
    <comment ref="I199" authorId="0" shapeId="0" xr:uid="{F3616D24-579A-48B7-9E61-A9C35EE378E9}">
      <text>
        <r>
          <rPr>
            <sz val="8"/>
            <color indexed="8"/>
            <rFont val="Times New Roman"/>
            <family val="1"/>
          </rPr>
          <t>SE TOMA EL 25%  DE PAGOS LABORALES COMO EXENTOS   DE ACUERDO AL ART. 206 DEL E.T.</t>
        </r>
      </text>
    </comment>
    <comment ref="D216" authorId="0" shapeId="0" xr:uid="{12B9B724-F7F4-43F2-937A-BFBC90CFCBBC}">
      <text>
        <r>
          <rPr>
            <sz val="8"/>
            <color indexed="8"/>
            <rFont val="Times New Roman"/>
            <family val="1"/>
          </rPr>
          <t xml:space="preserve">SE TOMA LA ASIGNACION BASICA MENOS PAGO PENSION EMPLEADO- FONDO DE SOLIDARIDAD O APORTE PENSION VOLUNTARIA
</t>
        </r>
      </text>
    </comment>
    <comment ref="I216" authorId="0" shapeId="0" xr:uid="{EC73DF9C-584C-4FC9-884D-DD6ED537DCB7}">
      <text>
        <r>
          <rPr>
            <sz val="8"/>
            <color indexed="8"/>
            <rFont val="Times New Roman"/>
            <family val="1"/>
          </rPr>
          <t xml:space="preserve">SE TOMA LA ASIGNACION BASICA MENOS PAGO PENSION EMPLEADO- FONDO DE SOLIDARIDAD O APORTE PENSION VOLUNTARIA
</t>
        </r>
      </text>
    </comment>
    <comment ref="D223" authorId="0" shapeId="0" xr:uid="{44E42487-C233-4E53-AEB6-EDE3FDFBBE84}">
      <text>
        <r>
          <rPr>
            <sz val="8"/>
            <color indexed="8"/>
            <rFont val="Times New Roman"/>
            <family val="1"/>
          </rPr>
          <t>SE TOMA EL 25%  DE PAGOS LABORALES COMO EXENTOS   DE ACUERDO AL ART. 206 DEL E.T.</t>
        </r>
      </text>
    </comment>
    <comment ref="I223" authorId="0" shapeId="0" xr:uid="{D253AFA2-6F62-4A22-9E6D-9CFE20128797}">
      <text>
        <r>
          <rPr>
            <sz val="8"/>
            <color indexed="8"/>
            <rFont val="Times New Roman"/>
            <family val="1"/>
          </rPr>
          <t>SE TOMA EL 25%  DE PAGOS LABORALES COMO EXENTOS   DE ACUERDO AL ART. 206 DEL E.T.</t>
        </r>
      </text>
    </comment>
    <comment ref="D240" authorId="0" shapeId="0" xr:uid="{5752A773-94E4-4861-A9C9-0E5A77C0E052}">
      <text>
        <r>
          <rPr>
            <sz val="8"/>
            <color indexed="8"/>
            <rFont val="Times New Roman"/>
            <family val="1"/>
          </rPr>
          <t xml:space="preserve">SE TOMA LA ASIGNACION BASICA MENOS PAGO PENSION EMPLEADO- FONDO DE SOLIDARIDAD O APORTE PENSION VOLUNTARIA
</t>
        </r>
      </text>
    </comment>
    <comment ref="I240" authorId="0" shapeId="0" xr:uid="{704CA5CD-A9E2-46B3-A467-67DBEBE0A7EA}">
      <text>
        <r>
          <rPr>
            <sz val="8"/>
            <color indexed="8"/>
            <rFont val="Times New Roman"/>
            <family val="1"/>
          </rPr>
          <t xml:space="preserve">SE TOMA LA ASIGNACION BASICA MENOS PAGO PENSION EMPLEADO- FONDO DE SOLIDARIDAD O APORTE PENSION VOLUNTARIA
</t>
        </r>
      </text>
    </comment>
    <comment ref="D247" authorId="0" shapeId="0" xr:uid="{7DC0624A-C1EE-4798-BAF8-6C376C49BEEC}">
      <text>
        <r>
          <rPr>
            <sz val="8"/>
            <color indexed="8"/>
            <rFont val="Times New Roman"/>
            <family val="1"/>
          </rPr>
          <t>SE TOMA EL 25%  DE PAGOS LABORALES COMO EXENTOS   DE ACUERDO AL ART. 206 DEL E.T.</t>
        </r>
      </text>
    </comment>
    <comment ref="I247" authorId="0" shapeId="0" xr:uid="{4CF33688-6EEF-41E5-935C-4A66D9764EC6}">
      <text>
        <r>
          <rPr>
            <sz val="8"/>
            <color indexed="8"/>
            <rFont val="Times New Roman"/>
            <family val="1"/>
          </rPr>
          <t>SE TOMA EL 25%  DE PAGOS LABORALES COMO EXENTOS   DE ACUERDO AL ART. 206 DEL E.T.</t>
        </r>
      </text>
    </comment>
  </commentList>
</comments>
</file>

<file path=xl/sharedStrings.xml><?xml version="1.0" encoding="utf-8"?>
<sst xmlns="http://schemas.openxmlformats.org/spreadsheetml/2006/main" count="3438" uniqueCount="1172">
  <si>
    <t>DIRECTORIO INSTITUTO DISTRITAL DE TURISMO
Contratistas</t>
  </si>
  <si>
    <t>NOMBRE Y APELLIDO</t>
  </si>
  <si>
    <t>NÚMERO DE CONTRATO</t>
  </si>
  <si>
    <t>OBJETO CONTRACTUAL</t>
  </si>
  <si>
    <t>VALOR HONORARIOS</t>
  </si>
  <si>
    <t>FECHA DE INICIO</t>
  </si>
  <si>
    <t>FECHA DE TERMINACION</t>
  </si>
  <si>
    <t>CARGO</t>
  </si>
  <si>
    <t>FORMACIÓN ACADÉMICA</t>
  </si>
  <si>
    <t>EXPERIENCIA LABORAL Y PROFESIONAL</t>
  </si>
  <si>
    <t>PAIS</t>
  </si>
  <si>
    <t>DEPARTAMENTO</t>
  </si>
  <si>
    <t>CIUDAD DE NACIMIENTO</t>
  </si>
  <si>
    <t>DEPENDENCIA</t>
  </si>
  <si>
    <t>CORREO INSTITUCIONAL</t>
  </si>
  <si>
    <t>TELEFONO INSTITUCIONAL</t>
  </si>
  <si>
    <t>EXTENCION</t>
  </si>
  <si>
    <t>FLORENA DUEÑAS CORONADO</t>
  </si>
  <si>
    <t>001-2026</t>
  </si>
  <si>
    <t>PRESTAR SERVICIOS DE APOYO A LA GESTIÓN EN LA SUBDIRECCIÓN DE MERCADEO; CON EL PROPÓSITO DE GARANTIZAR UNA ATENCIÓN INTEGRAL A LOS TURISTAS A TRAVÉS DE LOS DISTINTOS CANALES DE LA RED DE INFORMACIÓN TURÍSTICA DE BOGOTÁ; ASÍ COMO EN LAS ACTIVIDADES Y EVENTOS QUE SE REALICEN EN LA CIUDAD</t>
  </si>
  <si>
    <t>Contratista</t>
  </si>
  <si>
    <t>Técnico, tecnológico o terminación y aprobación de materias que conforman el pensum académico</t>
  </si>
  <si>
    <t>Entre 12 meses y 48 meses de experiencia laboral</t>
  </si>
  <si>
    <t>Colombia</t>
  </si>
  <si>
    <t>Cundinamarca</t>
  </si>
  <si>
    <t>Bogotá D.C</t>
  </si>
  <si>
    <t>SUBDIRECCIÓN DE MERCADEO</t>
  </si>
  <si>
    <t>florena.duenas@idt.gov.co</t>
  </si>
  <si>
    <t>CHRISTIAN CAMILO SUAREZ REYES</t>
  </si>
  <si>
    <t>002-2026</t>
  </si>
  <si>
    <t>PRESTAR SERVICIOS DE APOYO A LA GESTIÓN INTEGRAL DE LA RED DE INFORMACIÓN TURÍSTICA; GESTIONANDO LA ARTICULACIÓN OPERATIVA DE LOS DISTINTOS CANALES DE ATENCIÓN; EL DESPLIEGUE LOGÍSTICO EN EVENTOS INSTITUCIONALES Y LA PROMOCIÓN DE LA OFERTA TURÍSTICA DE BOGOTÁ; CON EL FIN DE GARANTIZAR UNA EXPERIENCIA DE SERVICIO COHERENTE; EFICIENTE Y ALINEADA CON LOS
OBJETIVOS ESTRATÉGICOS DE LA SUBDIRECCIÓN DE MERCADEO.</t>
  </si>
  <si>
    <t>Entre 60 meses y 84 meses de experiencia laboral</t>
  </si>
  <si>
    <t>christian.suarez@idt.gov.co</t>
  </si>
  <si>
    <t>YEISSON YESID JOYA SANCHEZ</t>
  </si>
  <si>
    <t>003-2026</t>
  </si>
  <si>
    <t>PRESTAR SERVICIOS PROFESIONALES Y DE APOYO A LA GESTIÓN A LA OFICINA DE CONTROL DISCIPLINARIO
INTERNO; CON EL FIN DE FORTALECER Y EJECUTAR LAS ACCIONES PREVENTIVAS Y CORRECTIVAS EN
MATERIA DISCIPLINARIA DE LA ENTIDAD</t>
  </si>
  <si>
    <t>Título Profesional</t>
  </si>
  <si>
    <t>Desde 24 meses hasta 36 meses de experiencia profesional</t>
  </si>
  <si>
    <t>CONTROL INTERNO DISCIPLINARIO</t>
  </si>
  <si>
    <t>yeisson.joya@idt.gov.co</t>
  </si>
  <si>
    <t>INGRID STEFANIE JIMENEZ BELTRAN</t>
  </si>
  <si>
    <t>004-2026</t>
  </si>
  <si>
    <t>ingrid.jimenez@idt.gov.co</t>
  </si>
  <si>
    <t>DIANA PAOLA NIÑO RUIZ</t>
  </si>
  <si>
    <t>005-2026</t>
  </si>
  <si>
    <t>PRESTAR SERVICIOS PROFESIONALES PARA LA ELABORACIÓN Y TRÁMITE DE LOS PROCESOS DE
CONTRATACIÓN QUE ADELANTE EL INSTITUTO DISTRITAL DE TURISMO</t>
  </si>
  <si>
    <t>SUBDIRECCIÓN DE GESTIÓN CORPORATIVA</t>
  </si>
  <si>
    <t>diana.nino@idt.gov.co</t>
  </si>
  <si>
    <t>MARIA CAMILA SUAREZ SARRIA</t>
  </si>
  <si>
    <t>006-2026</t>
  </si>
  <si>
    <t>PRESTAR SERVICIOS PROFESIONALES JURÍDICOS A LA SUBDIRECCIÓN DE GESTIÓN CORPORATIVA DEL
INSTITUTO DISTRITAL DE TURISMO; EN EL CUMPLIMIENTO DE LAS FUNCIONES Y COMPETENCIAS A SU CARGO</t>
  </si>
  <si>
    <t>Valle Del Cauca</t>
  </si>
  <si>
    <t>Cali</t>
  </si>
  <si>
    <t>maria.suarez@idt.gov.co</t>
  </si>
  <si>
    <t>MARIA STEFANNY GAMBOA ORTIZ</t>
  </si>
  <si>
    <t>007-2026</t>
  </si>
  <si>
    <t>PRESTAR SERVICIOS DE APOYO A LA GESTIÓN A LOS PROCESOS DE ATENCIÓN A LA CIUDADANÍA Y GESTIÓN
DEL TALENTO HUMANO DEL INSTITUTO DISTRITAL DE TURISMO.</t>
  </si>
  <si>
    <t>Entre 0 meses y 12 meses de experiencia laboral</t>
  </si>
  <si>
    <t>Yumbo</t>
  </si>
  <si>
    <t>maria.gamboa@idt.gov.co</t>
  </si>
  <si>
    <t>JESSICA FERNANDA VARGAS</t>
  </si>
  <si>
    <t>008-2026</t>
  </si>
  <si>
    <t>PRESTAR SERVICIOS PROFESIONALES A LA SUBDIRECCIÓN DE INTELIGENCIA Y GESTIÓN DE TECNOLOGÍAS DE LA INFORMACIÓN; CON EL FIN DE APOYAR LA FORMULACIÓN; IMPLEMENTACIÓN Y SEGUIMIENTO DE INICIATIVAS ALINEADAS CON EL EJE DE SOSTENIBILIDAD DEL MODELO DE DESTINO TURÍSTICO; QUE CONTRIBUYAN AL DESARROLLO AMBIENTAL; SOCIAL Y ECONÓMICO DE BOGOTÁ.</t>
  </si>
  <si>
    <t xml:space="preserve">Tolima </t>
  </si>
  <si>
    <t>Honda</t>
  </si>
  <si>
    <t>jessica.vargas@idt.gov.co</t>
  </si>
  <si>
    <t>MARCOS ANDRES RODRIGUEZ NAIZAQUE</t>
  </si>
  <si>
    <t>009-2026</t>
  </si>
  <si>
    <t>PRESTAR SERVICIOS DE APOYO AL PROCESO DE GESTIÓN DE TALENTO HUMANO DEL INSTITUTO DISTRITAL DE TURISMO</t>
  </si>
  <si>
    <t>Entre 48 meses y 60 meses de experiencia laboral</t>
  </si>
  <si>
    <t>marcos.rodriguez@idt.gov.co</t>
  </si>
  <si>
    <t>MONICA PATRICIA RICO</t>
  </si>
  <si>
    <t>010-2026</t>
  </si>
  <si>
    <t>PRESTAR SERVICIOS DE APOYO A LA GESTIÓN EN LA SUBDIRECCIÓN DE MERCADEO, CON EL PROPÓSITO DE GARANTIZAR UNA ATENCIÓN INTEGRAL A LOS TURISTAS A TRAVÉS DE LOS DISTINTOS CANALES DE LA RED DE INFORMACIÓN TURÍSTICA DE BOGOTÁ, ASÍ COMO EN LAS ACTIVIDADES Y EVENTOS QUE SE REALICEN EN LA CIUDAD</t>
  </si>
  <si>
    <t>monica.rico@idt.gov.co</t>
  </si>
  <si>
    <t>DANIELA VANESSA GARCES LOPEZ</t>
  </si>
  <si>
    <t>011-2026</t>
  </si>
  <si>
    <t>PRESTAR SERVICIOS PROFESIONALES PARA ACOMPAÑAR JURÍDICAMENTE A LA SUBDIRECCIÓN DE DESARROLLO Y COMPETITIVIDAD EN LOS ASUNTOS MISIONALES; ADMINISTRATIVOS Y CONTRACTUALES ADELANTADOS POR EL ÁREA.</t>
  </si>
  <si>
    <t>Título Profesional y Título de Postgrado en la modalidad de especialización o mestría relacionadas con el objeto del contrato</t>
  </si>
  <si>
    <t>Desde 60 meses hasta 81 meses de experiencia profesional</t>
  </si>
  <si>
    <t xml:space="preserve">Bolivar </t>
  </si>
  <si>
    <t>Cartagena</t>
  </si>
  <si>
    <t>SUBDIRECCIÓN DE DESARROLLO Y COMPETITIVIDAD</t>
  </si>
  <si>
    <t>daniela.garces@idt.gov.co</t>
  </si>
  <si>
    <t>ANGELA MILENA PANTOJA GARZÓN</t>
  </si>
  <si>
    <t>012-2026</t>
  </si>
  <si>
    <t>PRESTAR SERVICIOS PROFESIONALES AL INSTITUTO DISTRITAL DE TURISMO PARA APOYAR LA
ESTRUCTURACIÓN E IMPLEMENTACIÓN DE PROCESOS DE FORMACIÓN Y FORTALECIMIENTO DIRIGIDOS A IDEAS DE NEGOCIO Y EMPRENDIMIENTOS VINCULADOS AL SECTOR TURISTICO DEL DISTRITO CAPITAL.</t>
  </si>
  <si>
    <t>Más de 48 meses de experiencia profesional</t>
  </si>
  <si>
    <t>angela.pantoja@idt.gov.co</t>
  </si>
  <si>
    <t>DIANA JIMENA HERRERA GOMEZ</t>
  </si>
  <si>
    <t>013-2026</t>
  </si>
  <si>
    <t>PRESTAR SERVICIOS DE APOYO A LA GESTIÓN AL INSTITUTO DISTRITAL DE TURISMO PARA APOYAR EN EL SEGUIMIENTO DE LAS ACTIVIDADES ADMINISTRATIVAS Y MISIONALES DEL ÁREA</t>
  </si>
  <si>
    <t>Huila</t>
  </si>
  <si>
    <t>La Plata</t>
  </si>
  <si>
    <t>jimena.herrera@idt.gov.co</t>
  </si>
  <si>
    <t>NATALIA SAENZ RENGIFO</t>
  </si>
  <si>
    <t>014-2026</t>
  </si>
  <si>
    <t>PRESTAR SERVICIOS PROFESIONALES AL INSTITUTO DISTRITAL DE TURISMO PARA APOYAR LA ESTRUCTURACIÓN; FORMULACIÓN; EJECUCIÓN Y REPORTE DE LAS ACCIONES ASOCIADAS A LA ESTRATEGIA DE TURISMO ACCESIBLE DE BOGOTÁ</t>
  </si>
  <si>
    <t>natalia.saenz@idt.gov.co</t>
  </si>
  <si>
    <t>ALVARO FELIPE GARZÓN NIÑO</t>
  </si>
  <si>
    <t>015-2026</t>
  </si>
  <si>
    <t>PRESTAR SERVICIOS PROFESIONALES AL INSTITUTO DISTRITAL DE TURISMO COMO COMUNICADOR SOCIAL Y PERIODISTA PARA APOYAR ESTRATÉGICAMENTE LOS PROCESOS DE RELACIONAMIENTO PÚBLICO; ARTICULACIÓN DE ACTORES CLAVE DEL SECTOR TURÍSTICO Y POSICIONAMIENTO DE LOS PROGRAMAS Y PRODUCTOS LIDERADOS POR LA SUBDIRECCIÓN DE DESARROLLO Y COMPETITIVIDAD; CON ÉNFASIS EN LA GENERACIÓN DE ALIANZAS; VISIBILIDAD EN MEDIOS Y FORTALECIMIENTO DEL ECOSISTEMA TURÍSTICO.</t>
  </si>
  <si>
    <t>felipe.garzon@idt.gov.co</t>
  </si>
  <si>
    <t>DIANA VALENTINA RUIZ BAREÑO</t>
  </si>
  <si>
    <t>016-2026</t>
  </si>
  <si>
    <t>PRESTAR SERVICIOS PROFESIONALES AL INSTITUTO DISTRITAL DE TURISMO PARA LA IDENTIFICACIÓN Y
ACOMPAÑAMIENTO DE LAS EXPERIENCIAS TURÍSTICAS CON ÉNFASIS EN GASTRONOMÍA EN EL DISTRITO
CAPITAL</t>
  </si>
  <si>
    <t>Desde 18 meses hasta 24 meses de experiencia profesional</t>
  </si>
  <si>
    <t>diana.ruiz@idt.gov.co</t>
  </si>
  <si>
    <t>PAULA MEDELLIN LEON</t>
  </si>
  <si>
    <t>017-2026</t>
  </si>
  <si>
    <t>PRESTAR SERVICIOS PROFESIONALES AL INSTITUTO DISTRITAL DE TURISMO PARA APOYAR EL SEGUIMIENTO
A LAS ESTRATEGIAS TERRITORIALES QUE SE DESARROLLEN Y; LAS POLÍTICAS PÚBLICAS ASOCIADAS AL
ÁREA.</t>
  </si>
  <si>
    <t>paula.medellin@idt.gov.co</t>
  </si>
  <si>
    <t>SANDRA MILENA COBOS ANGULO</t>
  </si>
  <si>
    <t>018-2026</t>
  </si>
  <si>
    <t>PRESTAR SERVICIOS PROFESIONALES AL INSTITUTO DISTRITAL DE TURISMO PARA TRABAJAR CON LOS
DIFERENTES ACTORES TERRITORIALES QUE CONFORMAN EL SISTEMA TURÍSTICO EN LAS LOCALIDADES
PRIORIZADAS DEL DISTRITO; INCORPORANDO UN ENFOQUE DIFERENCIAL Y POBLACIONAL.</t>
  </si>
  <si>
    <t>sandra.cobos@idt.gov.co</t>
  </si>
  <si>
    <t>SANTIAGO MARTINEZ VALENCIA</t>
  </si>
  <si>
    <t>019-2026</t>
  </si>
  <si>
    <t>PRESTAR SERVICIOS PROFESIONALES AL INSTITUTO DISTRITAL DE TURISMO PARA LA IDENTIFICACIÓN Y ACOMPAÑAMIENTO DE EXPERIENCIAS TURÍSTICAS CON ÉNFASIS EN TURISMO DE NATURALEZA Y ENFOQUE COMUNITARIO EN EL DISTRITO CAPITAL</t>
  </si>
  <si>
    <t>Desde 36 meses hasta 48 meses de experiencia profesional</t>
  </si>
  <si>
    <t>santiago.martinez@idt.gov.co</t>
  </si>
  <si>
    <t>DIANA ROCIO ROZO DAZA</t>
  </si>
  <si>
    <t>020-2026</t>
  </si>
  <si>
    <t>PRESTAR SERVICIOS PROFESIONALES AL INSTITUTO DISTRITAL DE TURISMO PARA APOYAR LA EJECUCIÓN Y REPORTE DE LAS ACCIONES ASOCIADAS AL PROGRAMA DE CULTURA TURÍSTICA Y SERVICIO AL CLIENTE EN BOGOTÁ.</t>
  </si>
  <si>
    <t>rocio.rozo@idt.gov.co</t>
  </si>
  <si>
    <t>MARILUZ GOMEZ YAIMA</t>
  </si>
  <si>
    <t>021-2026</t>
  </si>
  <si>
    <t>PRESTAR SERVICIOS DE APOYO A LA GESTIÓN AL INSTITUTO DISTRITAL DE TURISMO ; ORIENTADOS A LA
EJECUCIÓN DE LAS ACTIVIDADES NECESARIAS PARA EL CUMPLIMIENTO Y SEGUIMIENTO DE LOS PRODUCTOS DERIVADOS DE LA POLÍTICA PÚBLICA RROM</t>
  </si>
  <si>
    <t>mariluz.gomez@idt.gov.co</t>
  </si>
  <si>
    <t>DEBBIE ALEJANDRA ANGULO  ROJAS</t>
  </si>
  <si>
    <t>022-2026</t>
  </si>
  <si>
    <t>PRESTAR SERVICIOS PROFESIONALES PARA LA TRADUCCIÓN; ADAPTACIÓN Y REVISIÓN DE CONTENIDOS INSTITUCIONALES EN DIVERSOS IDIOMAS; ORIENTADOS A LOS PROCESOS DE COMUNICACIÓN INTERNA Y EXTERNA DEL INSTITUTO DISTRITAL DE TURISMO; GARANTIZANDO PRECISIÓN LINGÜÍSTICA; COHERENCIA DISCURSIVA Y ADECUACIÓN CULTURAL EN LOS MATERIALES DIVULGADOS POR LA ENTIDAD.</t>
  </si>
  <si>
    <t>OFICINA ASESORA DE COMUNICACIONES</t>
  </si>
  <si>
    <t>debbie.angulo@idt.gov.co</t>
  </si>
  <si>
    <t xml:space="preserve">LILIANA MARITZA ROA BAQUERO </t>
  </si>
  <si>
    <t>023-2026</t>
  </si>
  <si>
    <t>PRESTAR SERVICIOS PROFESIONALES PARA APOYAR EN LA FORMULACIÓN; SEGUIMIENTO Y EVALUACIÓN DE PLANES; PROGRAMAS Y PROYECTOS; GARANTIZANDO SU ARTICULACIÓN CON LA PLANEACIÓN ESTRATÉGICA INSTITUCIONAL Y CON LA IMPLEMENTACIÓN Y SEGUIMIENTO DEL MODELO INTEGRADO DE PLANEACIÓN Y GESTIÓN - MIPG DEL INSTITUTO DISTRITAL DE TURISMO.</t>
  </si>
  <si>
    <t>liliana.roa@idt.gov.co</t>
  </si>
  <si>
    <t>ANGELA INES ESPINOSA SALGADO</t>
  </si>
  <si>
    <t>024-2026</t>
  </si>
  <si>
    <t>PRESTAR SERVICIOS DE APOYO A LA GESTIÓN EN ACTIVIDADES ARCHIVISTICAS Y DE MANEJO DOCUMENTAL
QUE SE REQUIERAN EN LA OFICINA JURÍDICA DEL IDT</t>
  </si>
  <si>
    <t>Título Bachiller</t>
  </si>
  <si>
    <t>Casanare</t>
  </si>
  <si>
    <t>Villanueva</t>
  </si>
  <si>
    <t>OFICINA JURÍDICA</t>
  </si>
  <si>
    <t>angela.espinosa@idt.gov.co</t>
  </si>
  <si>
    <t>SEBASTIÁN RUANO LONDOÑO</t>
  </si>
  <si>
    <t>025-2026</t>
  </si>
  <si>
    <t>PRESTAR SERVICIOS PROFESIONALES PARA DISEÑAR Y PRODUCIR MATERIAL GRÁFICO EN FORMATOS IMPRESO; DIGITAL Y WEB; ALINEADO CON LA IDENTIDAD DE MARCA; LAS CAMPAÑAS PROMOCIONALES Y LA ESTRATEGIA DIGITAL DEL INSTITUTO DISTRITAL DE TURISMO.</t>
  </si>
  <si>
    <t>Palmira</t>
  </si>
  <si>
    <t>sebastian.ruano@idt.gov.co</t>
  </si>
  <si>
    <t xml:space="preserve">SANTIAGO RINCÓN DURÁN </t>
  </si>
  <si>
    <t>026-2026</t>
  </si>
  <si>
    <t>PRESTAR SERVICIOS PROFESIONALES PARA LA GENERACIÓN DE CONTENIDOS AUDIOVISUALES; MEDIANTE LA REALIZACIÓN DE CUBRIMIENTOS; EL REGISTRO Y LA DOCUMENTACIÓN FOTOGRÁFICA Y AUDIOVISUAL DE LAS ACTIVIDADES INSTITUCIONALES DEL INSTITUTO DISTRITAL DE TURISMO - IDT; ASÍ COMO LA EDICIÓN Y ELABORACIÓN DE MATERIALES VISUALES DESTINADOS A LA COMUNICACIÓN INTERNA Y EXTERNA DE LA ENTIDAD.</t>
  </si>
  <si>
    <t>santiago.rincon@idt.gov.co</t>
  </si>
  <si>
    <t xml:space="preserve">LADY ESTEFANIA PÉREZ CAMACHO </t>
  </si>
  <si>
    <t>027-2026</t>
  </si>
  <si>
    <t>PRESTAR SERVICIOS PROFESIONALES PARA REALIZAR LA ADMINISTRACIÓN DE LAS REDES SOCIALES DEL INSTITUTO DISTRITAL DE TURISMO - IDT; MEDIANTE LA CREACIÓN; PRODUCCIÓN Y PROGRAMACIÓN DE CONTENIDOS DIGITALES; LA GESTIÓN DE COMUNIDADES DIGITALES Y EL SEGUIMIENTO AL DESEMPEÑO DE LAS PLATAFORMAS INSTITUCIONALES; DE ACUERDO CON LA MISIONALIDAD Y LAS ESTRATEGIAS DE
COMUNICACIÓN DEFINIDAS POR LA ENTIDAD.</t>
  </si>
  <si>
    <t>lady.perez@idt.gov.co</t>
  </si>
  <si>
    <t xml:space="preserve">CINDY MARCELA CASTIBLANCO HERRERA </t>
  </si>
  <si>
    <t>028-2026</t>
  </si>
  <si>
    <t>PRESTAR SERVICIOS PROFESIONALES PARA DESARROLLAR CONTENIDOS DE PRENSA; EJECUTAR CUBRIMIENTOS Y ELABORAR PRODUCTOS COMUNICACIONALES EN TEXTO; AUDIO; FOTOGRAFÍA Y VIDEO; DE ACUERDO CON LA ESTRATEGIA DE COMUNICACIÓN INTERNA Y EXTERNA DEL INSTITUTO DISTRITAL DE TURISMO; ASÍ COMO FORTALECER EL POSICIONAMIENTO INSTITUCIONAL MEDIANTE EL RELACIONAMIENTO CON MEDIOS DE COMUNICACIÓN Y LA DIVULGACIÓN DE LA OFERTA TURÍSTICA DEL DISTRITO.</t>
  </si>
  <si>
    <t>cindy.castiblanco@idt.gov.co</t>
  </si>
  <si>
    <t>NATALIA ESPITIA SALAZAR</t>
  </si>
  <si>
    <t>029-2026</t>
  </si>
  <si>
    <t>PRESTAR SERVICIOS PROFESIONALES PARA GESTIONAR EL RELACIONAMIENTO CON MEDIOS; ELABORAR CONTENIDOS ESCRITOS Y AUDIOVISUALES; Y PROMOVER INFORMACIÓN INSTITUCIONAL MEDIANTE FREE PRESS; DE ACUERDO CON LA ESTRATEGIA DE COMUNICACIÓN DEL INSTITUTO DISTRITAL DE TURISMO.</t>
  </si>
  <si>
    <t>natalia.espitia@idt.gov.co</t>
  </si>
  <si>
    <t>JUAN CAMILO GIRÓN QUIJANO</t>
  </si>
  <si>
    <t>030-2026</t>
  </si>
  <si>
    <t>PRESTAR SERVICIOS PROFESIONALES PARA LA GESTIÓN Y ACTUALIZACIÓN DE CONTENIDOS DEL PORTAL WEB; MICROSITIOS E INTRANET DEL IDT; LA OPTIMIZACIÓN SEO; LA GENERACIÓN DE ESTADÍSTICAS Y EL CUMPLIMIENTO DE LA NORMATIVA DE TRANSPARENCIA Y GOBIERNO DIGITAL.</t>
  </si>
  <si>
    <t>Hasta 6 meses de experiencia profesional</t>
  </si>
  <si>
    <t>juan.giron@idt.gov.co</t>
  </si>
  <si>
    <t>JULIAN DAVID RUBIANO SARMIENTO</t>
  </si>
  <si>
    <t>031-2026</t>
  </si>
  <si>
    <t>PRESTAR SERVICIOS DE APOYO A LA GESTIÓN EN ACTIVIDADES DOCUMENTALES Y OPERATIVAS QUE SE
REQUIERAN EN LA OFICINA JURÍDICA DEL INSTITUTO DISTRITAL DE TURISMO.</t>
  </si>
  <si>
    <t>Soacha</t>
  </si>
  <si>
    <t>julian.rubiano@idt.gov.co</t>
  </si>
  <si>
    <t>ANDREA DEL PILAR BELTRAN SARMIENTO</t>
  </si>
  <si>
    <t>032-2026</t>
  </si>
  <si>
    <t>PRESTAR SERVICIOS PROFESIONALES PARA EL TRÁMITE Y SEGUIMIENTO DE LAS GESTIONES ADMINISTRATIVAS; PRESUPUESTALES Y FINANCIERAS; EN ESPECIAL EL PROCESO CONTABLE DEL INSTITUTO DISTRITAL DE TURISMO.</t>
  </si>
  <si>
    <t>andrea.beltran@idt.gov.co</t>
  </si>
  <si>
    <t>PAULA TATIANA CABIATIVA MENDIENTA</t>
  </si>
  <si>
    <t>033-2026</t>
  </si>
  <si>
    <t>PRESTAR SERVICIOS DE APOYO A LA GESTIÓN AL PROCESO DE TALENTO HUMANO DE LA ENTIDAD; EN ESPECIAL LO RELACIONADO CON LAS HISTORIAS LABORALES DE LOS SERVIDORES DEL INSTITUTO DISTRITAL DE TURISMO.</t>
  </si>
  <si>
    <t>tatiana.cabiativa@idt.gov.co</t>
  </si>
  <si>
    <t>JUAN DAVID GUZMAN ORTIZ</t>
  </si>
  <si>
    <t>034-2026</t>
  </si>
  <si>
    <t>PRESTAR SERVICIOS DE APOYO A LA GESTIÓN AL INSTITUTO DISTRITAL DE TURISMO PARA EL DESARROLLO DE ACCIONES DE SENSIBILIZACIÓN EN EL MARCO DEL PROGRAMA SEGURIDAD TURÍSTICA Y PREVENCIÓN DE LA EXPLOTACIÓN SEXUAL; COMERCIAL DE NIÑOS; NIÑAS Y ADOLESCENTES (ESCNNA) Y DE LA TRATA DE PERSONAS.</t>
  </si>
  <si>
    <t>juan.guzman@idt.gov.co</t>
  </si>
  <si>
    <t>LEIDY CATHERINE BARBOSA LEGUIZAMON</t>
  </si>
  <si>
    <t>035-2026</t>
  </si>
  <si>
    <t>PRESTAR SERVICIOS PROFESIONALES AL INSTITUTO DISTRITAL DE TURISMO; PARA APOYAR LA
FORMULACIÓN; EJECUCIÓN Y REPORTE DE LAS ACCIONES ASOCIADAS AL PROGRAMA DE PREVENCIÓN DE LA
EXPLOTACIÓN SEXUAL COMERCIAL DE NIÑOS; NIÑAS Y ADOLESCENTES (ESCNNA) Y DE LA TRATA DE
PERSONAS; EN EL CONTEXTO DEL SECTOR TURÍSTICO EN BOGOTÁ D.C.</t>
  </si>
  <si>
    <t>catherine.barbosa@idt.gov.co</t>
  </si>
  <si>
    <t>LINA MARIA RODRIGUEZ MEDINA</t>
  </si>
  <si>
    <t>036-2026</t>
  </si>
  <si>
    <t>PRESTAR SERVICIOS PROFESIONALES AL INSTITUTO DISTRITAL DE TURISMO PARA BRINDAR ACOMPAÑAMIENTO TÉCNICO A LOS ACTORES DEL SISTEMA TURÍSTICO EN LAS LOCALIDADES DEL DISTRITO QUE HAN SIDO PRIORIZADAS.</t>
  </si>
  <si>
    <t>lina.medina@idt.gov.co</t>
  </si>
  <si>
    <t>JHON JAIRO ACUÑA PEREZ</t>
  </si>
  <si>
    <t>037-2026</t>
  </si>
  <si>
    <t>PRESTAR SERVICIOS PROFESIONALES AL INSTITUTO DISTRITAL DE TURISMO PARA TRABAJAR CON LOS DIFERENTES ACTORES TERRITORIALES QUE INTEGRAN EL SISTEMA TURÍSTICO EN LAS LOCALIDADES PRIORIZADAS DEL DISTRITO; PROMOVIENDO SU VINCULACIÓN ACTIVA EN ESPACIOS Y MESAS DE PARTICIPACIÓN LOCAL ORIENTADAS AL FORTALECIMIENTO DE LA GOBERNANZA TURÍSTICA.</t>
  </si>
  <si>
    <t>jhon.acuna@idt.gov.co</t>
  </si>
  <si>
    <t>CESAR DAVID BARRERO RODRIGUEZ</t>
  </si>
  <si>
    <t>038-2026</t>
  </si>
  <si>
    <t>PRESTACIÓN DE SERVICIOS DE APOYO A LA GESTIÓN AL INSTITUTO DISTRITAL DE TURISMO; ORIENTADOS AL ACOMPAÑAMIENTO DE ACTIVIDADES ADMINISTRATIVAS Y A LA EJECUCIÓN LOGÍSTICA EN EL MARCO DEL CONTRATO BTL.</t>
  </si>
  <si>
    <t>cesar.barrero@idt.gov.co</t>
  </si>
  <si>
    <t>BRIYITH GISELA REYES QUINTERO</t>
  </si>
  <si>
    <t>039-2026</t>
  </si>
  <si>
    <t>PRESTACIÓN DE SERVICIOS PROFESIONALES AL INSTITUTO DISTRITAL DE TURISMO PARA APOYAR EN LA ESTRUCTURACIÓN Y EJECUCIÓN A LOS PROYECTOS DE INFRAESTRUCTURA TURÍSTICA EN BOGOTÁ Y LA REGIÓN.</t>
  </si>
  <si>
    <t>briyith.reyes@idt.gov.co</t>
  </si>
  <si>
    <t>JOHAN DAVID RAMIREZ PEÑA</t>
  </si>
  <si>
    <t>040-2026</t>
  </si>
  <si>
    <t>PRESTAR SERVICIOS PROFESIONALES A LA SUBDIRECCIÓN DE DESARROLLO Y COMPETITIVIDAD PARA BRINDAR ACOMPAÑAMIENTO JURÍDICO EN LOS PROCESOS CONTRACTUALES Y ADMINISTRATIVOS DEL ÁREA.</t>
  </si>
  <si>
    <t>johan.ramirez@idt.gov.co</t>
  </si>
  <si>
    <t>BEATRIZ HELENA PEREZ ROSAS</t>
  </si>
  <si>
    <t>041-2026</t>
  </si>
  <si>
    <t>PRESTAR SERVICIOS PROFESIONALES AL INSTITUTO DISTRITAL DE TURISMO PARA APOYAR EL
FORTALECIMIENTO DE LA ESTRATEGIA DE DESARROLLO EMPRESARIAL EN LA CADENA DE VALOR DEL TURISMO; MEDIANTE LA IMPLEMENTACIÓN DE ACCIONES QUE PROMUEVAN LA ADOPCIÓN DE BUENAS PRÁCTICAS DE TURISMO SOSTENIBLE.</t>
  </si>
  <si>
    <t>Desde 48 meses hasta 60 meses de experiencia profesional</t>
  </si>
  <si>
    <t xml:space="preserve">Atlantico </t>
  </si>
  <si>
    <t>Barranquilla</t>
  </si>
  <si>
    <t>beatriz.perez@idt.gov.co</t>
  </si>
  <si>
    <t>CARLOS EDUARDO OTAVO MORALES</t>
  </si>
  <si>
    <t>042-2026</t>
  </si>
  <si>
    <t>PRESTAR SERVICIOS PROFESIONALES AL INSTITUTO DISTRITAL DE TURISMO PARA LA IDENTIFICACIÓN Y ACOMPAÑAMIENTO DE EXPERIENCIAS TURÍSTICAS CON ÉNFASIS EN TURISMO CULTURAL Y DE MEMORIA; PAZ Y RECONCILIACIÓN EN EL DISTRITO CAPITAL.</t>
  </si>
  <si>
    <t>carlos.otavo@idt.gov.co</t>
  </si>
  <si>
    <t xml:space="preserve"> KATERIN SYLVANA URIBE PARRA </t>
  </si>
  <si>
    <t>043-2026</t>
  </si>
  <si>
    <t>PRESTAR SERVICIOS PROFESIONALES EN LA SUBDIRECCIÓN DE PLANEACIÓN PARA APOYAR LA GESTIÓN
 DEL MÓDULO DE CONTRATACIÓN EN EL SISTEMA DE INFORMACIÓN Y GESTIÓN - PANDORA; ASÍ COMO TODA LA GESTIÓN DOCUMENTAL Y ADMINISTRATIVA DEL ÁREA EN LAS ETAPAS PRECONTRACTUAL; CONTRACTUAL;
POSCONTRACTUAL Y PROPIAS DE LA SUBDIRECCIÓN</t>
  </si>
  <si>
    <t>Boyacá</t>
  </si>
  <si>
    <t>Chitaraque</t>
  </si>
  <si>
    <t>SUBDIRECCIÓN DE PLANEACIÓN</t>
  </si>
  <si>
    <t>katherin.uribe@idt.gov.co</t>
  </si>
  <si>
    <t>NEDI NATALIA MILLARES ABELLA</t>
  </si>
  <si>
    <t>044-2026</t>
  </si>
  <si>
    <t>PRESTAR SERVICIOS PROFESIONALES AL INSTITUTO DISTRITAL DE TURISMO PARA APOYAR LA PUESTA EN MARCHA Y ARTICULACIÓN DE LAS POLÍTICAS PÚBLICAS DISTRITALES ASOCIADAS AL ÁREA.</t>
  </si>
  <si>
    <t>natalia.millares@idt.gov.co</t>
  </si>
  <si>
    <t>KARLA MAYELIS MENGUAL REDONDO</t>
  </si>
  <si>
    <t>045-2026</t>
  </si>
  <si>
    <t>PRESTAR SERVICIOS PROFESIONALES A LA SUBDIRECCIÓN DE DESARROLLO Y COMPETITIVIDAD PARA BRINDAR ACOMPAÑAMIENTO JURÍDICO EN TODAS LAS ETAPAS DE LOS PROCESOS CONTRACTUALES DE BIENES Y SERVICIOS DEL ÁREA.</t>
  </si>
  <si>
    <t>La Guajira</t>
  </si>
  <si>
    <t>Manaure</t>
  </si>
  <si>
    <t>karla.mengual@idt.gov.co</t>
  </si>
  <si>
    <t>CRISTIAN CAMILO CALDERON TAPIA</t>
  </si>
  <si>
    <t>046-2026</t>
  </si>
  <si>
    <t>PRESTAR SERVICIOS PROFESIONALES EN LA SUBDIRECCIÓN DE PLANEACIÓN PARA GARANTIZAR LA OPERACIÓN; IMPLEMENTACIÓN; MANTENIMIENTO; MEJORA Y EVOLUCIÓN DEL SISTEMA DE INFORMACIÓN Y GESTIÓN - PANDORA EN LA ENTIDAD</t>
  </si>
  <si>
    <t>cristian.calderon@idt.gov.co</t>
  </si>
  <si>
    <t>JESICA ANDREA JIMENEZ POLANIA</t>
  </si>
  <si>
    <t>047-2026</t>
  </si>
  <si>
    <t>PRESTAR SERVICIOS PROFESIONALES EN EL ASPECTO MISIONAL DE LA ENTIDAD EN EL QUE ABARQUE ENTRE OTROS LOS ASUNTOS POLITICOS Y/O PUBLICOS DEL IDT</t>
  </si>
  <si>
    <t xml:space="preserve">Meta </t>
  </si>
  <si>
    <t>Villavicencio</t>
  </si>
  <si>
    <t>DIRECCIÓN GENERAL</t>
  </si>
  <si>
    <t>jessica.jimenez@idt.gov.co</t>
  </si>
  <si>
    <t>MAIRA ALEJANDRA MENESES ROMERO</t>
  </si>
  <si>
    <t>048-2026</t>
  </si>
  <si>
    <t>PRESTAR SERVICIOS PROFESIONALES A LA SUBDIRECCIÓN DE DESARROLLO Y COMPETITIVIDAD PARA REALIZAR LA REVISIÓN FINANCIERA Y PRESUPUESTAL DE LOS PROYECTOS DE INVERSIÓN ASIGNADOS AL ÁREA.</t>
  </si>
  <si>
    <t>maira.meneses@idt.gov.co</t>
  </si>
  <si>
    <t>JULIO RICARDO SANABRIA MARTINEZ</t>
  </si>
  <si>
    <t>049-2026</t>
  </si>
  <si>
    <t>PRESTAR SERVICIOS DE APOYO A LA GESTIÓN PARA EL ACOMPAÑAMIENTO LOGÍSTICO DE LAS ACTIVIDADES ADMINISTRATIVAS DEL INSTITUTO DISTRITAL DE TURISMO REQUERIDAS PARA EL CUMPLIMIENTO DE LAS FUNCIONES INSTITUCIONALES</t>
  </si>
  <si>
    <t>julio.sanabria@idt.gov.co</t>
  </si>
  <si>
    <t>IDELBER SANCHEZ</t>
  </si>
  <si>
    <t>050-2026</t>
  </si>
  <si>
    <t>PRESTAR SERVICIOS PROFESIONALES EN LA ESTABILIZACIÓN DE LA IMPLEMENTACIÓN DEL SISTEMA DE GESTIÓN DOCUMENTAL ORFEO</t>
  </si>
  <si>
    <t>Granada</t>
  </si>
  <si>
    <t>idelber.sanchez@idt.gov.co</t>
  </si>
  <si>
    <t>NATALY GISSED PARRA BARRANTES</t>
  </si>
  <si>
    <t>051-2026</t>
  </si>
  <si>
    <t>PRESTAR SERVICIOS DE APOYO A LA GESTIÓN EN LA SUBDIRECCIÓN DE GESTIÓN CORPORATIVA; EN LA IMPLEMENTACIÓN DE LAS ACTIVIDADES PROGRAMADAS POR EL INSTITUTO DISTRITAL DE TURISMO; DANDO OBSERVANCIA A LA NORMATIVIDAD EMITIDA POR EL ARCHIVO GENERAL DE LA NACIÓN Y LA DIRECCIÓN DISTRITAL ARCHIVO DE BOGOTÁ.</t>
  </si>
  <si>
    <t>nataly.parra@idt.gov.co</t>
  </si>
  <si>
    <t>SEBASTIAN USECHE ORTEGA</t>
  </si>
  <si>
    <t>052-2026</t>
  </si>
  <si>
    <t>PRESTAR SERVICIOS PROFESIONALES AL IDT PARA EL DESARROLLO DE ACTIVIDADES LOGÍSTICAS Y DE BTL
PARA LA VISIBILIZACIÓN DE BOGOTÁ COMO DESTINO TURÍSTICO</t>
  </si>
  <si>
    <t>sebastian.useche@idt.gov.co</t>
  </si>
  <si>
    <t>LISSETH CATHERINE SANCHÉZ NIETO</t>
  </si>
  <si>
    <t>053-2026</t>
  </si>
  <si>
    <t>PRESTAR SERVICIOS PROFESIONALES AL INSTITUTO DISTRITAL DE TURISMO PARA LA ESTRUCTURACIÓN; PUESTA EN MARCHA Y SEGUIMIENTO DE LA ESTRATEGIA DE IMPULSO Y APOYO DE PROYECTOS TURÍSTICOS</t>
  </si>
  <si>
    <t>catherine.sanchez@idt.gov.co</t>
  </si>
  <si>
    <t>LAURA ANGELICA SANCLEMENTE QUINTERO</t>
  </si>
  <si>
    <t>054-2026</t>
  </si>
  <si>
    <t>PRESTAR SERVICIOS PROFESIONALES AL INSTITUTO DISTRITAL DE TURISMO PARA LA IDENTIFICACIÓN Y ACOMPAÑAMIENTO DE EXPERIENCIAS TURÍSTICAS CON ÉNFASIS EN TURISMO DE SALUD Y DEPORTIVO EN EL DISTRITO CAPITAL.</t>
  </si>
  <si>
    <t>laura.sanclemente@idt.gov.co</t>
  </si>
  <si>
    <t>MATEO ANDRÉS CABALLERO CANTOR</t>
  </si>
  <si>
    <t>055-2026</t>
  </si>
  <si>
    <t>PRESTAR SERVICIOS DE APOYO A LA GESTIÓN PARA EL REGISTRO AUDIOVISUAL PARA LA ELABORACIÓN DE PIEZAS COMUNICATIVAS DESTINADAS A LA DIVULGACIÓN DE PROGRAMAS; PLANES Y PROYECTOS INSTITUCIONALES DEL INSTITUTO DISTRITAL DE TURISMO</t>
  </si>
  <si>
    <t>Chia</t>
  </si>
  <si>
    <t>mateo.caballero@idt.gov.co</t>
  </si>
  <si>
    <t>KEVIN OSWALDO MOLANO ALARCÓN</t>
  </si>
  <si>
    <t>056-2026</t>
  </si>
  <si>
    <t>PRESTAR SERVICIOS PROFESIONALES PARA EL REGISTRO AUDIOVISUAL Y EL DISEÑO GRÁFICO DE LAS ACTIVIDADES INSTITUCIONALES DEL INSTITUTO DISTRITAL DE TURISMO; ASÍ COMO PARA LA ELABORACIÓN DE CONTENIDOS VISUALES DE ALTA CALIDAD DESTINADOS A MATERIAL PROMOCIONAL Y PUBLICITARIO; EN APOYO A LA COMUNICACIÓN ESTRATÉGICA Y LA PROYECCIÓN INSTITUCIONAL DE LA ENTIDAD.</t>
  </si>
  <si>
    <t>kevin.molano@idt.gov.co</t>
  </si>
  <si>
    <t>CAROL STEPHANNY BARRAGAN SOLER</t>
  </si>
  <si>
    <t>057-2026</t>
  </si>
  <si>
    <t>PRESTAR SERVICIOS PROFESIONALES AL INSTITUTO DISTRITAL DE TURISMO EN LA ARTICULACIÓN DE LAS ACTIVIDADES DE PLANEACIÓN; REALIZANDO LA PROGRAMACIÓN; EJECUCIÓN Y REPORTE OPORTUNO DEL CUMPLIMIENTO DE METAS EN LOS SISTEMAS DESTINADOS PARA TAL FIN; ASÍ COMO LAS ACCIONES RELACIONADAS CON EL SISTEMA INTEGRADO DE GESTIÓN DE CALIDAD.</t>
  </si>
  <si>
    <t>carol.barragan@idt.gov.co</t>
  </si>
  <si>
    <t>YENNY MENDOZA ASECNCIO</t>
  </si>
  <si>
    <t>058-2026</t>
  </si>
  <si>
    <t>PRESTAR SERVICIOS DE APOYO A LA GESTIÓN PARA EL DESARROLLO DE LAS ACTIVIDADES OPERATIVAS;
LOGÍSTICAS Y ASISTENCIALES REQUERIDAS POR LA OFICINA JURÍDICA EN MATERIA DE DEFENSA JUDICIAL.</t>
  </si>
  <si>
    <t>Rioblanco</t>
  </si>
  <si>
    <t>yenny.mendoza@idt.gov.co</t>
  </si>
  <si>
    <t>SELENE AGUDELO LOPEZ</t>
  </si>
  <si>
    <t>059-2026</t>
  </si>
  <si>
    <t>PRESTAR SERVICIOS DE APOYO A LA GESTIÓN PARA EFECTUAR SEGUIMIENTO ADMINISTRATIVO Y CONTRACTUAL A LOS PROCESOS DESARROLLADOS EN LA SUBDIRECCIÓN DE INTELIGENCIA Y GESTIÓN DE TECNOLOGÍAS DE LA INFORMACIÓN.</t>
  </si>
  <si>
    <t>SUBDIRECCIÓN DE INTELIGENCIA Y GESTIÓN DE TECNOLOGÍAS DE LA INFORMACIÓN</t>
  </si>
  <si>
    <t>selene.agudelo@idt.gov.co</t>
  </si>
  <si>
    <t>CARLOS ALBERTO LOPEZ DIAZ</t>
  </si>
  <si>
    <t>060-2026</t>
  </si>
  <si>
    <t>PRESTAR SERVICIOS PROFESIONALES PARA LA GESTIÓN Y SEGUIMIENTO DE LOS PROCESOS
CONTRACTUALES DE TECNOLOGÍA; DESDE SU PLANEACIÓN HASTA SU FINALIZACIÓN</t>
  </si>
  <si>
    <t>carlos.lopez@idt.gov.co</t>
  </si>
  <si>
    <t>LAURA DANIELA CAMACHO</t>
  </si>
  <si>
    <t>061-2026</t>
  </si>
  <si>
    <t>PRESTAR SERVICIOS PROFESIONALES PARA LA ARTICULACIÓN DE ACTIVIDADES DE LA DIRECCIÓN GENERAL CON LOS AGENTES INTERNOS Y EXTERNOS; NACIONALES E INTERNACIONALES; ASÍ COMO EL SOPORTE EN LA PLANIFICACIÓN DE OBJETIVOS Y ESTRATEGIAS DE GESTIÓN PARA LA EJECUCIÓN DE LAS ACTIVIDADES</t>
  </si>
  <si>
    <t>Chiquinquirá</t>
  </si>
  <si>
    <t>laura.camacho@idt.gov.co</t>
  </si>
  <si>
    <t>ANA MARIA MONTOYA</t>
  </si>
  <si>
    <t>062-2026</t>
  </si>
  <si>
    <t>PRESTAR SERVICIOS PROFESIONALES PARA EL DESARROLLO DE LAS ACTIVIDADES REQUERIDAS POR LA OFICINA JURIDICA DEL IDT EN MATERIA JURÍDICA Y  CONTRACTUAL.</t>
  </si>
  <si>
    <t>ana.montoya@idt.gov.co</t>
  </si>
  <si>
    <t>IVAN FERNANDO ESCOBAR TRONCOSO</t>
  </si>
  <si>
    <t>063-2026</t>
  </si>
  <si>
    <t>PRESTAR SERVICIOS DE APOYO A LA GESTIÓN PARA LA SUBDIRECCIÓN DE DESARROLLO Y COMPETITIVIDAD; CON EL FIN DE DOCUMENTAR LA IMPLEMENTACIÓN DE LOS PLANES DE GESTIÓN TURÍSTICA Y LAS ACTIVIDADES TURÍSTICAS TERRITORIALES; EN EL MARCO DEL CUMPLIMIENTO DE LA ESTRATEGIA DE
GESTIÓN TERRITORIAL DEL TURISMO EN LAS DIFERENTES LOCALIDADES DE BOGOTÁ; D.C</t>
  </si>
  <si>
    <t>Ibague</t>
  </si>
  <si>
    <t>ivan.escobar@idt.gov.co</t>
  </si>
  <si>
    <t>ELIZABETH AREVALO CANCINO</t>
  </si>
  <si>
    <t>064-2026</t>
  </si>
  <si>
    <t>PRESTAR SERVICIOS PROFESIONALES AL INSTITUTO DISTRITAL DE TURISMO PARA APOYAR EN LA EJECUCIÓN DE LA ESTRATEGIA DE TURISMO ACCESIBLE DE BOGOTÁ; CON ÉNFASIS EN LA ELIMINACIÓN DE BARRERAS PARA LAS PERSONAS CON DISCAPACIDAD AUDITIVA; A TRAVÉS DE ACCIONES DE SENSIBILIZACIÓN E INTERPRETACIÓN EN LENGUA DE SEÑAS COLOMBIANA (LSC).</t>
  </si>
  <si>
    <t>No requiere</t>
  </si>
  <si>
    <t>elizabeth.arevalo@idt.gov.co</t>
  </si>
  <si>
    <t>DANEL ANTONIO MANTILLA CHAPARRO</t>
  </si>
  <si>
    <t>065-2026</t>
  </si>
  <si>
    <t>daniel.mantilla@idt.gov.co</t>
  </si>
  <si>
    <t>JUAN SEBASTIAN ESTUPIÑAN HEREDIA</t>
  </si>
  <si>
    <t>066-2026</t>
  </si>
  <si>
    <t>PRESTAR SERVICIOS PROFESIONALES A LA SUBDIRECCIÓN DE INTELIGENCIA Y GESTIÓN DE TECNOLOGÍAS DE LA INFORMACIÓN PARA APOYAR EL DESARROLLO DE PROYECTOS ESTRATÉGICOS; ASÍ COMO LA CONSTRUCCIÓN DE DOCUMENTOS E INFORMES TÉCNICOS EN EL MARCO DE LAS INVESTIGACIONES ADELANTADAS POR EL ÁREA.</t>
  </si>
  <si>
    <t>juan.estupinan@idt.gov.co</t>
  </si>
  <si>
    <t xml:space="preserve"> FACCELLO ARGEL MANJARRES </t>
  </si>
  <si>
    <t>067-2026</t>
  </si>
  <si>
    <t>PRESTAR LOS SERVICIOS PARA LA ADMINISTRACIÓN; MANTENIMIENTO Y SOPORTE TÉCNICO DEL SISTEMA DE INFORMACIÓN QUE APOYA ADMINISTRATIVA; FINANCIERA; PRESUPUESTAL Y CONTABLE DEL IDT</t>
  </si>
  <si>
    <t>Girardot</t>
  </si>
  <si>
    <t>faccello.argel@idt.gov.co</t>
  </si>
  <si>
    <t>JOHANA KATHERINE JUNCA ORTIZ</t>
  </si>
  <si>
    <t>068-2026</t>
  </si>
  <si>
    <t>PRESTAR SERVICIOS PROFESIONALES ESPECIALIZADOS; PARA DAR CONTINUIDAD A LA IMPLEMENTACIÓN DE LAS POLÍTICAS DE GOBIERNO Y SEGURIDAD DIGITAL</t>
  </si>
  <si>
    <t>Fusagasugá</t>
  </si>
  <si>
    <t>katherine.junca@idt.gov.co</t>
  </si>
  <si>
    <t xml:space="preserve">TANNY MARIA ALVAREZ PEZZANO </t>
  </si>
  <si>
    <t>069-2026</t>
  </si>
  <si>
    <t>PRESTAR SERVICIOS PROFESIONALES A LA SUBDIRECCIÓN DE INTELIGENCIA Y GESTIÓN DE TECNOLOGÍAS
DE LA INFORMACIÓN; ORIENTADOS A LA PLANEACIÓN; SEGUIMIENTO; EJECUCIÓN Y CUMPLIMIENTO DE
METAS; INDICADORES Y PROCEDIMIENTOS DEL ÁREA; DE ACUERDO CON LOS LINEAMIENTOS
INSTITUCIONALES Y EN COORDINACIÓN CON LAS ACTIVIDADES ESTRATÉGICAS DEFINIDAS POR LA ENTIDAD.</t>
  </si>
  <si>
    <t>tanny.alvarez@idt.gov.co</t>
  </si>
  <si>
    <t>DIEGO ALEJANDRO RODRIGUEZ GUERRERO</t>
  </si>
  <si>
    <t>070-2026</t>
  </si>
  <si>
    <t>PRESTAR SERVICIOS PROFESIONALES A LA SUBDIRECCIÓN DE INTELIGENCIA Y GESTIÓN DE TECNOLOGÍAS DE LA INFORMACIÓN PARA ELABORAR Y CONSOLIDAR DOCUMENTOS; INDICADORES Y REPORTES DE COYUNTURA SECTORIAL; GARANTIZANDO COHERENCIA Y CONSISTENCIA DE LOS RESULTADOS OBTENIDOS POR EL OBSERVATORIO DE TURISMO</t>
  </si>
  <si>
    <t>diego.rodriguez@idt.gov.co</t>
  </si>
  <si>
    <t>JUAN CARLOS CABUYA NAVARRETE</t>
  </si>
  <si>
    <t>071-2026</t>
  </si>
  <si>
    <t>PRESTAR SERVICIOS PROFESIONALES A LA SUBDIRECCIÓN DE INTELIGENCIA Y GESTIÓN DE TECNOLOGÍAS DE LA INFORMACIÓN; CON EL FIN DE APOYAR LA IMPLEMENTACIÓN DE ACCIONES DEL EJE DE TECNOLOGÍA DEL MODELO BOGOTÁ DESTINO TURÍSTICO INTELIGENTE; ORIENTADAS AL FORTALECIMIENTO DE LA DIGITALIZACIÓN; LA ADOPCIÓN DE TECNOLOGÍAS AVANZADAS Y LA CONSOLIDACIÓN DE BOGOTÁ COMO UN DESTINO TURÍSTICO INNOVADOR Y DE VANGUARDIA.</t>
  </si>
  <si>
    <t>juan.cabuya@idt.gov.co</t>
  </si>
  <si>
    <t>ANGIE PAOLA SUÁREZ</t>
  </si>
  <si>
    <t>072-2026</t>
  </si>
  <si>
    <t>PRESTAR SERVICIOS DE APOYO A LA GESTIÓN EN LA SUBDIRECCIÓN DE MERCADEO; PARA EL MONITOREO DEL PROCESO DE MERCADEO TURÍSTICO; INCLUYENDO ATENCIÓN A REQUERIMIENTOS INSTITUCIONALES Y SOPORTE AL CUMPLIMIENTO DE POLÍTICAS PÚBLICAS Y COMPROMISOS EN EL MARCO DEL MODELO INTEGRADO DE PLANEACIÓN Y GESTIÓN - MIPG.</t>
  </si>
  <si>
    <t>paola.suarez@idt.gov.co</t>
  </si>
  <si>
    <t>ALEXANDRA PATRICIA TORRES CARDENAS</t>
  </si>
  <si>
    <t>073-2026</t>
  </si>
  <si>
    <t>PRESTAR SERVICIOS PROFESIONALES A LA SUBDIRECCIÓN DE INTELIGENCIA Y GESTIÓN DE TECNOLOGÍAS DE LA INFORMACIÓN; CON EL FIN DE APOYAR LA IMPLEMENTACIÓN Y SEGUIMIENTO DE LAS ACCIONES DEFINIDAS EN LA ESTRATEGIA BOGOTÁ DESTINO TURÍSTICO INTELIGENTE; PARA ASEGURAR EL MANTENIMIENTO DE LA DISTINCIÓN</t>
  </si>
  <si>
    <t xml:space="preserve">Caldas </t>
  </si>
  <si>
    <t>Manizales</t>
  </si>
  <si>
    <t>alexandra.torres@idt.gov.co</t>
  </si>
  <si>
    <t>JUAN FELIPE YEPES GONZALEZ</t>
  </si>
  <si>
    <t>074-2026</t>
  </si>
  <si>
    <t>PRESTAR SERVICIOS PROFESIONALES A LA SUBDIRECCIÓN DE INTELIGENCIA Y GESTIÓN DE TECNOLOGÍAS DE LA INFORMACIÓN; CON EL FIN DE APOYAR LA FORMULACIÓN; DESARROLLO Y EJECUCIÓN DE PRODUCTOS ESTRATÉGICOS ASOCIADOS AL EJE DE INNOVACIÓN DEL MODELO DE DESTINO TURÍSTICO INTELIGENTE; CONTRIBUYENDO AL CUMPLIMIENTO DE LAS METAS ESTABLECIDAS EN EL PLAN DISTRITAL DE DESARROLLO</t>
  </si>
  <si>
    <t xml:space="preserve">Santander </t>
  </si>
  <si>
    <t>Bucaramanga</t>
  </si>
  <si>
    <t>juan.yepes@idt.gov.co</t>
  </si>
  <si>
    <t>STALYN YASID GUERRERO GOMEZ</t>
  </si>
  <si>
    <t>075-2026</t>
  </si>
  <si>
    <t>PRESTAR SERVICIOS PROFESIONALES A LA SUBDIRECCIÓN DE INTELIGENCIA Y GESTIÓN DE TECNOLOGÍAS DE LA INFORMACIÓN PARA APOYAR EL REDISEÑO METODOLÓGICO Y ESTADÍSTICO DE LAS OPERACIONES; ESTUDIOS Y MEDICIONES DEL OBSERVATORIO DE TURISMO DE BOGOTÁ.</t>
  </si>
  <si>
    <t xml:space="preserve">Monteria </t>
  </si>
  <si>
    <t>Cordoba</t>
  </si>
  <si>
    <t>stalyn.guerrero@idt.gov.co</t>
  </si>
  <si>
    <t>VALERIA MUÑETON TAMAYO</t>
  </si>
  <si>
    <t>076-2026</t>
  </si>
  <si>
    <t>PRESTAR SERVICIOS PROFESIONALES PARA APOYAR A LA SUBDIRECCIÓN DE PLANEACIÓN EN LA IMPLEMENTACIÓN DEL MÓDULO DEL SISTEMA INTEGRADO DE GESTIÓN DEL INSTITUTO EN EL SISTEMA DE INFORMACIÓN Y GESTIÓN PANDORA.</t>
  </si>
  <si>
    <t>valeria.muneton@idt.gov.co</t>
  </si>
  <si>
    <t xml:space="preserve">JULIETH RODRIGUEZ RODRIGUEZ </t>
  </si>
  <si>
    <t>077-2026</t>
  </si>
  <si>
    <t>PRESTAR SERVICIOS PROFESIONALES PARA APOYAR A LA SUBDIRECCIÓN DE PLANEACIÓN EN LA IMPLEMENTACIÓN Y SEGUIMIENTO DE LAS ACTIVIDADES PARA EL CUMPLIMIENTO DE LAS POLÍTICAS DEL MODELO INTEGRADO DE PLANEACIÓN Y GESTIÓN - MIPG; REFORZANDO LA DIMENSIÓN DE GESTIÓN DEL CONOCIMIENTO Y LA INNOVACIÓN EN EL INSTITUTO</t>
  </si>
  <si>
    <t>julieth.rodriguez@idt.gov.co</t>
  </si>
  <si>
    <t>ALEJANDRA SASTOQUE ARBOLEDA</t>
  </si>
  <si>
    <t>078-2026</t>
  </si>
  <si>
    <t>PRESTAR SERVICIOS PROFESIONALES PARA APOYAR A LA SUBDIRECCIÓN DE PLANEACIÓN EN EL SEGUIMIENTO; ANÁLISIS Y REPORTE DE LAS POLÍTICAS PÚBLICAS E INDICADORES DE GESTIÓN EN EL IDT ES RESPONSABLE O CORRESPONSABLE; ASÍ COMO EL ACOMPAÑAMIENTO Y FORMULACIÓN DE INICIATIVAS EN LOS PROCESOS DE COOPERACIÓN INTERNACIONAL.</t>
  </si>
  <si>
    <t>alejandra.sastoque@idt.gov.co</t>
  </si>
  <si>
    <t>MARIA FERNANDA RIVERA</t>
  </si>
  <si>
    <t>079-2026</t>
  </si>
  <si>
    <t>PRESTAR SERVICIOS PROFESIONALES EN LA SUBDIRECCIÓN DE PLANEACIÓN PARA APOYAR LA GESTIÓN AMBIENTAL INSTITUCIONAL; GARANTIZANDO EL CUMPLIMIENTO DE LOS LINEAMIENTOS DE LA SECRETARÍA DISTRITAL DE AMBIENTE Y EL DESARROLLO DE ACCIONES DEL PLAN INSTITUCIONAL DE GESTIÓN AMBIENTAL-PIGA.</t>
  </si>
  <si>
    <t>maria.rivera@idt.gov.co</t>
  </si>
  <si>
    <t xml:space="preserve"> ERICK YONATHAN HORTUA </t>
  </si>
  <si>
    <t>080-2026</t>
  </si>
  <si>
    <t>PRESTAR SERVICIOS PROFESIONALES PARA APOYAR A LA SUBDIRECCIÓN DE PLANEACIÓN EN EL FORTALECIMIENTO DE LA GESTIÓN DEL SISTEMA DE INFORMACIÓN Y GESTIÓN - PANDORA; EN LOS MÓDULOS PRESUPUESTALES Y DE PLANEACIÓN ESTRATÉGICA.</t>
  </si>
  <si>
    <t>yonathan.pinzon@idt.gov.co</t>
  </si>
  <si>
    <t>ERICA JULIETH RENTERIA</t>
  </si>
  <si>
    <t>081-2026</t>
  </si>
  <si>
    <t>PRESTAR SERVICIOS PROFESIONALES EN LA SUBDIRECCIÓN DE PLANEACIÓN PARA APOYAR LA GESTIÓN DE METAS; PRESUPUESTO; LA ATENCIÓN DE SOLICITUDES; SEGUIMIENTO A HERRAMIENTAS INSTITUCIONALES Y FORMULACIÓN DE ESTRATEGIAS QUE FORTALEZCAN LA GESTIÓN DE LA ENTIDAD.</t>
  </si>
  <si>
    <t xml:space="preserve">Quindio </t>
  </si>
  <si>
    <t>Filandia</t>
  </si>
  <si>
    <t>erika.renteria@idt.gov.co</t>
  </si>
  <si>
    <t>MARÍA ALEJANDRA GUALDRON</t>
  </si>
  <si>
    <t>082-2026</t>
  </si>
  <si>
    <t>PRESTAR SERVICIOS PROFESIONALES PARA LA DEFENSA JUDICIAL EN LOS PROCESOS LITIGIOSOS EN LOS
QUE SEA PARTE EL IDT.</t>
  </si>
  <si>
    <t>maria.gualdron@idt.gov.co</t>
  </si>
  <si>
    <t>DIANA MAYERLY MORENO LÓPEZ</t>
  </si>
  <si>
    <t>083-2026</t>
  </si>
  <si>
    <t>PRESTAR SERVICIOS PROFESIONALES A LA OFICINA JURÍDICA PARA APOYAR LAS DIFERENTES ETAPAS DE LOS PROCESOS DE CONTRATACIÓN QUE ADELANTA EL INSTITUTO DISTRITAL DE TURISMO.</t>
  </si>
  <si>
    <t>diana.moreno@idt.gov.co</t>
  </si>
  <si>
    <t>JUAN  CARLOS MORENO MORENO</t>
  </si>
  <si>
    <t>084-2026</t>
  </si>
  <si>
    <t>PRESTAR LOS SERVICIOS PROFESIONALES PARA APOYAR LA GESTIÓN INTEGRAL DE LA INFRAESTRUCTURA TECNOLÓGICA Y DE COMUNICACIONES DE LA ENTIDAD</t>
  </si>
  <si>
    <t>juanc.moreno@idt.gov.co</t>
  </si>
  <si>
    <t xml:space="preserve">JUAN FELIPE RUBIO ARRUBLA </t>
  </si>
  <si>
    <t>085-2026</t>
  </si>
  <si>
    <t>PRESTAR SERVICIOS PROFESIONALES A LA SUBDIRECCIÓN DE INTELIGENCIA Y GESTIÓN DE TECNOLOGÍAS DE LA INFORMACIÓN; CON EL FIN DE APOYAR EL SEGUIMIENTO; ANÁLISIS Y ELABORACIÓN DE ESTUDIOS DEL OBSERVATORIO DE TURISMO; ASÍ COMO LA IMPLEMENTACIÓN Y FORTALECIMIENTO DE LA ESTRATEGIA DE DESTINO TURÍSTICO INTELIGENTE.</t>
  </si>
  <si>
    <t>juan.rubio@idt.gov.co</t>
  </si>
  <si>
    <t xml:space="preserve"> LAURA CRISTINA ROJAS BARBOSA</t>
  </si>
  <si>
    <t>086-2026</t>
  </si>
  <si>
    <t>PRESTAR SERVICIOS PROFESIONALES A LA SUBDIRECCIÓN DE INTELIGENCIA Y GESTIÓN DE TECNOLOGÍAS DE LA INFORMACIÓN PARA APOYAR LAS ACCIONES DEL COMPONENTE GEOGRÁFICO DEL TURISMO EN BOGOTÁ Y CONTRIBUIR CON LA IMPLEMENTACIÓN DEL MODELO DE GESTIÓN DE INFORMACIÓN ESTADÍSTICA.</t>
  </si>
  <si>
    <t>laura.rojas@idt.gov.co</t>
  </si>
  <si>
    <t>CLAUDIA PAOLA MARTINEZ RODRIGUEZ</t>
  </si>
  <si>
    <t>087-2026</t>
  </si>
  <si>
    <t>PRESTAR SERVICIOS DE APOYO EN LA SUBDIRECCIÓN DE INTELIGENCIA Y GESTIÓN DE TECNOLOGÍAS DE LA INFORMACIÓN PARA REALIZAR ACTIVIDADES DE ENCUESTADOR EN LOS ESCENARIOS O PUNTOS ASIGNADOS; CONFORME A LOS REQUERIMIENTOS Y LINEAMIENTOS TÉCNICOS DEFINIDOS POR EL ÁREA.</t>
  </si>
  <si>
    <t>claudia.martinez@idt.gov.co</t>
  </si>
  <si>
    <t>ALIZON MICHEL PINILLA PABON</t>
  </si>
  <si>
    <t>088-2026</t>
  </si>
  <si>
    <t>alizon.pinilla@idt.gov.co</t>
  </si>
  <si>
    <t>ANDERSON CAMILO HUERFANO REYES</t>
  </si>
  <si>
    <t>089-2026</t>
  </si>
  <si>
    <t>PRESTAR SERVICIOS PROFESIONALES AL INSTITUTO DISTRITAL DE TURISMO PARA BRINDAR
ACOMPAÑAMIENTO TÉCNICO A LOS ACTORES DEL SISTEMA TURÍSTICO EN LAS LOCALIDADES DEL DISTRITO QUE HAN SIDO PRIORIZADAS.</t>
  </si>
  <si>
    <t>Arbeláez</t>
  </si>
  <si>
    <t>anderson.huerfano@idt.gov.co</t>
  </si>
  <si>
    <t>NYDIA EDITH GUTIERREZ GARZÓN</t>
  </si>
  <si>
    <t>090-2026</t>
  </si>
  <si>
    <t>PRESTAR SERVICIOS PROFESIONALES AL INSTITUTO DISTRITAL DE TURISMO; ORIENTADOS A BRINDAR ACOMPAÑAMIENTO TÉCNICO EN LA IMPLEMENTACIÓN DE LOS PLANES DE ACCIÓN LOCAL DE TURISMO; ASÍ COMO EN EL APOYO A LOS PROCESOS Y ACTIVIDADES DE LA ESTRATEGIA DE GESTIÓN TERRITORIAL DEL TURISMO; EN LAS DIFERENTES LOCALIDADES DEL DISTRITO CAPITAL)</t>
  </si>
  <si>
    <t>nydia.gutierrez@idt.gov.co</t>
  </si>
  <si>
    <t>CAROLINA OLARTE OLARTE-</t>
  </si>
  <si>
    <t>091-2026</t>
  </si>
  <si>
    <t>PRESTAR SERVICIOS PROFESIONALES AL INSTITUTO DISTRITAL DE TURISMO PARA APOYAR EN LA GESTIÓN
DOCUMENTAL Y ARCHIVÍSTICA; MEDIANTE LA ORGANIZACIÓN; PRESERVACIÓN Y CONTROL DE LA
INFORMACIÓN GENERADA.</t>
  </si>
  <si>
    <t>Landazuri</t>
  </si>
  <si>
    <t>carolina.olarte@idt.gov.co</t>
  </si>
  <si>
    <t>YULY PATRICIA PATRICIA GARCIA PALACIOS</t>
  </si>
  <si>
    <t>092-2026</t>
  </si>
  <si>
    <t>PRESTAR SERVICIOS PROFESIONALES EN LA SUBDIRECCIÓN DE MERCADEO MEDIANTE SEGUIMIENTO A LA
EJECUCIÓN; ANÁLISIS TÉCNICO Y FINANCIERO DE LOS CONVENIOS Y/O CONTRATOS DEL ÁREA; INCLUYENDO
LA EMISIÓN DE LAS ALERTAS REQUERIDAS.</t>
  </si>
  <si>
    <t>yuly.garcia@idt.gov.co</t>
  </si>
  <si>
    <t>JOHANA ANDREA RUBIANDO DUARTE</t>
  </si>
  <si>
    <t>093-2026</t>
  </si>
  <si>
    <t>PRESTAR SERVICIOS PROFESIONALES PARA GESTIONAR INICIATIVAS DE COMERCIALIZACIÓN Y ALIANZAS
ESTRATÉGICAS QUE PROMUEVAN A BOGOTÁ COMO DESTINO TURÍSTICO.</t>
  </si>
  <si>
    <t>johana.rubiano@idt.gov.co</t>
  </si>
  <si>
    <t>JOHNNY RAMIRO OSMA GUALDRON</t>
  </si>
  <si>
    <t>094-2026</t>
  </si>
  <si>
    <t>PRESTAR SERVICIOS PROFESIONALES EN LA SUBDIRECCIÓN DE MERCADEO; CON EL FIN DE APOYAR Y
GESTIONAR LOS PROCESOS FINANCIEROS Y CONTABLES RELACIONADOS CON LOS PROYECTOS DE
INVERSIÓN DEL ÁREA; ASEGURANDO EL CUMPLIMIENTO DE LOS LINEAMIENTOS INSTITUCIONALES;
NORMATIVOS Y PRESUPUESTALES VIGENTES.</t>
  </si>
  <si>
    <t>johnny.osma@idt.gov.co</t>
  </si>
  <si>
    <t>ANGELA MARIA RUEDA ÁLVAREZ</t>
  </si>
  <si>
    <t>095-2026</t>
  </si>
  <si>
    <t>PRESTAR SERVICIOS PROFESIONALES PARA LA CREACIÓN DE CONTENIDOS VISUALES Y PIEZAS INSTITUCIONALES ORIENTADAS A CANALES INTERNOS Y EXTERNOS DEL INSTITUTO DISTRITAL DE TURISMO</t>
  </si>
  <si>
    <t>Buga</t>
  </si>
  <si>
    <t>angela.rueda@idt.gov.co</t>
  </si>
  <si>
    <t xml:space="preserve"> OCTAVIO ANDRES CRUZ GUEVARA</t>
  </si>
  <si>
    <t>096-2026</t>
  </si>
  <si>
    <t>PRESTAR SERVICIOS PROFESIONALES PARA LA PRODUCCIÓN AUDIOVISUAL; MEDIANTE LA REALIZACIÓN; GRABACIÓN Y EDICIÓN DE CONTENIDOS AUDIOVISUALES INSTITUCIONALES DEL INSTITUTO DISTRITAL DE TURISMO; ORIENTADOS A LA COMUNICACIÓN INTERNA Y EXTERNA DE LA ENTIDAD; CON EL FIN DE FORTALECER LA DIVULGACIÓN DE LA GESTIÓN INSTITUCIONAL Y LA PROMOCIÓN DE BOGOTÁ COMO DESTINO
TURÍSTICO.</t>
  </si>
  <si>
    <t>octavio.cruz@idt.gov.co</t>
  </si>
  <si>
    <t>MONICA GIMENA SUAREZ FORERO</t>
  </si>
  <si>
    <t>097-2026</t>
  </si>
  <si>
    <t>PRESTAR SERVICIOS PROFESIONALES A LA SUBDIRECCIÓN DE INTELIGENCIA Y GESTIÓN DE TECNOLOGÍAS DE LA INFORMACIÓN PARA FORTALECER LA PLANEACIÓN; ORGANIZACIÓN Y ARTICULACIÓN DE LOS PROCESOS OPERATIVOS DE RECOLECCIÓN; TOMA DE MUESTRAS Y CAPTURA DE INFORMACIÓN EJECUTADOS POR EL EQUIPO DE CAMPO.</t>
  </si>
  <si>
    <t>monica.suarez@idt.gov.co</t>
  </si>
  <si>
    <t xml:space="preserve">CARLOS ANDRES GUZMAN RODRIGUEZ </t>
  </si>
  <si>
    <t>098-2026</t>
  </si>
  <si>
    <t>PRESTAR SERVICIOS PROFESIONALES EN LA SUBDIRECCIÓN DE MERCADEO; PARA FORMULAR; GESTIONAR Y
HACER SEGUIMIENTO DE MANERA INTEGRAL A PLANES; PROGRAMAS Y PROYECTOS ESTRATÉGICOS DEL
ÁREA DE MERCADEO; ASEGURANDO SU ALINEACIÓN CON EL SISTEMA INTEGRADO DE GESTIÓN Y LOS
COMPROMISOS INSTITUCIONALES; COMPETENCIA DEL ÁREA.</t>
  </si>
  <si>
    <t>Desde 60 meses hasta 84 meses de experiencia profesional</t>
  </si>
  <si>
    <t>carlos.guzman@idt.gov.co</t>
  </si>
  <si>
    <t>MARIA FERNANDA GARCIA SILVA</t>
  </si>
  <si>
    <t>099-2026</t>
  </si>
  <si>
    <t>PRESTAR SERVICIOS PROFESIONALES EN LA SUBDIRECCIÓN DE MERCADEO; PARA LA GENERACIÓN DE
CONTENIDOS PERIODÍSTICOS CONTRIBUYENDO AL POSICIONAMIENTO DE BOGOTÁ COMO DESTRINO
TURISTICO A NIVEL NACIONAL E INTERNACIONAL.</t>
  </si>
  <si>
    <t>maria.garcia@idt.gov.co</t>
  </si>
  <si>
    <t>JAVIER RODRIGO HERNANDEZ MENESES</t>
  </si>
  <si>
    <t>100-2026</t>
  </si>
  <si>
    <t>PRESTAR SERVICIOS DE APOYO A LA GESTIÓN EN LA SUBDIRECCIÓN DE MERCADEO; CON EL PROPÓSITO DE GARANTIZAR UNA ATENCIÓN INTEGRAL A LOS TURISTAS A TRAVÉS DE LOS DISTINTOS CANALES DE LA RED DE INFORMACIÓN TURÍSTICA DE BOGOTÁ; ASÍ COMO EN LAS ACTIVIDADES Y EVENTOS QUE SE REALICEN EN
LA CIUDAD</t>
  </si>
  <si>
    <t>javier.hernandez@idt.gov.co</t>
  </si>
  <si>
    <t>LINA PAOLA RODRIGUEZ RODRIGUEZ</t>
  </si>
  <si>
    <t>101-2026</t>
  </si>
  <si>
    <t>PRESTAR SERVICIOS PROFESIONALES DE TRADUCCIÓN E INTERPRETACIÓN MULTILINGÜE DE CONTENIDOS TURÍSTICOS; GARANTIZANDO SU ADECUACIÓN CULTURAL Y LINGÜÍSTICA A LOS MERCADOS OBJETIVOS</t>
  </si>
  <si>
    <t>Desde 6 meses hasta 18 meses de experiencia profesional</t>
  </si>
  <si>
    <t>lina.rodriguez@idt.gov.co</t>
  </si>
  <si>
    <t>LAURA CAMILA CHAVES CHAVES</t>
  </si>
  <si>
    <t>102-2026</t>
  </si>
  <si>
    <t>PRESTAR SERVICIOS PROFESIONALES A LA GESTIÓN EN LA SUBDIRECCIÓN DE MERCADEO; CON EL PROPÓSITO DE GARANTIZAR UNA ATENCIÓN INTEGRAL A LOS TURISTAS A TRAVÉS DE LOS DISTINTOS CANALES DE LA RED DE INFORMACIÓN TURÍSTICA DE BOGOTÁ; ASÍ COMO EN LAS ACTIVIDADES Y EVENTOS QUE SE REALICEN EN LA CIUDAD</t>
  </si>
  <si>
    <t>laura.chaves@idt.gov.co</t>
  </si>
  <si>
    <t xml:space="preserve">ERIKA RESTREPO GIRALDO </t>
  </si>
  <si>
    <t>103-2026</t>
  </si>
  <si>
    <t>PRESTAR SERVICIOS PROFESIONALES EN LA SUBDIRECCIÓN DE MERCADEO PARA ADELANTAR LA
DEFINICIÓN Y GESTIÓN DE LA LÍNEA EDITORIAL; ASÍ COMO LA CREACIÓN DE CONTENIDOS INNOVADORES EN NUEVOS FORMATOS; ORIENTADOS A LA PROMOCIÓN DE BOGOTÁ COMO DESTINO TURÍSTICO.</t>
  </si>
  <si>
    <t>erika.restrepo@idt.gov.co</t>
  </si>
  <si>
    <t xml:space="preserve">ANDRES FELIPE OVIEDO URBANO </t>
  </si>
  <si>
    <t>104-2026</t>
  </si>
  <si>
    <t>PRESTAR SERVICIOS PROFESIONALES PARA LA CREACIÓN DE PIEZAS GRÁFICAS DE ALTO IMPACTO; QUE APOYEN LA PROMOCIÓN DE BOGOTÁ COMO DESTINO TURÍSTICO COMPETITIVO Y DIVERSO.</t>
  </si>
  <si>
    <t>andres.oviedo@idt.gov.co</t>
  </si>
  <si>
    <t>GUSTAVO ADOLFO MUÑOZ DOMÍNGUEZ</t>
  </si>
  <si>
    <t>105-2026</t>
  </si>
  <si>
    <t>PRESTAR SERVICIOS PROFESIONALES EN LA SUBDIRECCIÓN DE MERCADEO; PARA EL MANTENIMIENTO Y
ACTUALIZACIÓN DE PLATAFORMAS WEB Y APLICATIVOS DIGITALES DE PROMOCIÓN TURISTICA; ALINEADOS
CON LA ESTRATEGIA DE COMUNICACIÓN DIGITAL Y POSICIONAMIENTO DE BOGOTÁ COMO DESTINO.</t>
  </si>
  <si>
    <t>gustavo.munoz@idt.gov.co</t>
  </si>
  <si>
    <t>NESTOR AUGUSTO GOYES ORTEGA</t>
  </si>
  <si>
    <t>106-2026</t>
  </si>
  <si>
    <t>PRESTAR SERVICIOS PROFESIONALES PARA EL DESARROLLO DE PRODUCTOS DIGITALES Y MÓVILES; QUE APOYEN LA ESTRATEGIA DE PROMOCIÓN Y POSICIONAMIENTO TURÍSTICO DE BOGOTÁ.</t>
  </si>
  <si>
    <t>nestor.goyes@idt.gov.co</t>
  </si>
  <si>
    <t>CARLOS EDISON VIANCHA VALENCIA</t>
  </si>
  <si>
    <t>107-2026</t>
  </si>
  <si>
    <t>PRESTAR SERVICIOS PROFESIONALES PARA LA PLANEACIÓN; PRODUCCIÓN Y POSTPRODUCCIÓN DE
CONTENIDOS AUDIOVISUALES; FORTALECIENDO LA IDENTIDAD VISUAL DE BOGOTÁ COMO DESTINO.</t>
  </si>
  <si>
    <t>Norte De Santander</t>
  </si>
  <si>
    <t>Cúcuta</t>
  </si>
  <si>
    <t>carlos.viancha@idt.gov.co</t>
  </si>
  <si>
    <t>JULIAN DAVID DELGADO ACEVEDO</t>
  </si>
  <si>
    <t>108-2026</t>
  </si>
  <si>
    <t>PRESTAR SERVICIOS DE APOYO A LA PROGRAMACIÓN Y OPERACIÓN DE PLATAFORMAS DIGITALES DE
PROMOCIÓN TURÍSTICA; FORTALECIENDO EL ECOSISTEMA WEB DE LA SUBDIRECCIÓN DE MERCADEO.</t>
  </si>
  <si>
    <t>julian.delgado@idt.gov.co</t>
  </si>
  <si>
    <t>ANDRES DARIO VERGARA</t>
  </si>
  <si>
    <t>109-2026</t>
  </si>
  <si>
    <t>PRESTAR SERVICIOS DE APOYO A LA GESTIÓN DE SOPORTE TÉCNICO AL SISTEMA PANDORA DEL INSTITUTO DISTRITAL DE TURISMO - IDT; QUE INCLUYE: ATENCIÓN Y RESOLUCIÓN DE REQUERIMIENTOS DE USUARIOS; CORRECCIÓN DE ERRORES; GESTIÓN DE DATOS EN BASES DE DATOS; GENERACIÓN DE INFORMES; Y DEMÁS ACTIVIDADES NECESARIAS PARA GARANTIZAR LA OPERACIÓN DEL SISTEMA.</t>
  </si>
  <si>
    <t>Título de Formación técnico o tecnólogo, o terminación y aprobación de materias que
conforman el pensum académico.</t>
  </si>
  <si>
    <t>andres.vergara@idt.gov.co</t>
  </si>
  <si>
    <t>VICTORIA MORA VANEGAS</t>
  </si>
  <si>
    <t>110-2026</t>
  </si>
  <si>
    <t>PRESTAR SERVICIOS PROFESIONALES PARA APOYAR A LA SUBDIRECCIÓN DE PLANEACIÓN EN EL SEGUIMIENTO; FORTALECIMIENTO Y EJECUCIÓN DE LAS ACCIONES DE CONTROL SOCIAL Y PARTICIPACIÓN CIUDADANA; GARANTIZANDO EL CUMPLIMIENTO DE LOS LINEAMIENTOS INSTITUCIONALES Y DISTRITALES; ASÍ COMO LA ADECUADA ARTICULACIÓN CON LOS DIFERENTES ESPACIOS Y HERRAMIENTAS DE PARTICIPACIÓN.</t>
  </si>
  <si>
    <t>victoria.mora@idt.gov.co</t>
  </si>
  <si>
    <t>JOHANN RICARDO PACHON RUIZ</t>
  </si>
  <si>
    <t>111-2026</t>
  </si>
  <si>
    <t>PRESTAR SERVICIOS TÉCNICOS DE APOYO EN LA ASESORÍA DE CONTROL INTERNO DEL IDT; DANDOCUMPLIMIENTO AL PLAN ANUALDE AUDITORÍA APROBADO PARA LA VIGENCIA; MEDIANTE LAEVALUACIÓN DEL CUMPLIMIENTO NORMATIVO; LA GESTIÓN DE RIESGOS Y LA EFECTIVIDAD DE LOS CONTROLES
ASOCIADOS A LA GESTIÓN DOCUMENTAL Y DE ARCHIVOS; Y LAS DEMÁS ACTIVIDADES DE ASEGURAMIENTO
QUE LE SEAN ASIGNADAS DE CONFORMIDAD CON EL PLAN ANUAL DE AUDITORÍA</t>
  </si>
  <si>
    <t>OFICINA ASESORA DE CONTROL INTERNO</t>
  </si>
  <si>
    <t>johann.pachon@idt.gov.co</t>
  </si>
  <si>
    <t>HENRY ALEXANDER VILLALOBOS</t>
  </si>
  <si>
    <t>112-2026</t>
  </si>
  <si>
    <t>PRESTAR SERVICIOS PROFESIONALES COMO INGENIERO INDUSTRIAL EN LA ASESORÍA DE CONTROL INTERNO DEL IDT; DANDO CUMPLIMIENTO AL PLAN ANUAL DE AUDITORÍA APROBADO PARA LA VIGENCIA; MEDIANTE LA EVALUACIÓN DEL CUMPLIMIENTO NORMATIVO; LA GESTIÓN DE RIESGOS Y LA EFECTIVIDAD DE LOS CONTROLES; CON ENFOQUE BASADO EN RIESGOS; Y LAS DEMÁS ACTIVIDADES DE ASEGURAMIENTO QUE LE SEAN ASIGNADAS DE CONFORMIDAD CON EL PLAN ANUAL DE AUDITORÍA.</t>
  </si>
  <si>
    <t>alexander.villalobos@idt.gov.co</t>
  </si>
  <si>
    <t xml:space="preserve"> NAYIBE RODRIGUEZ MARTINEZ</t>
  </si>
  <si>
    <t>113-2026</t>
  </si>
  <si>
    <t>PRESTAR SERVICIOS PROFESIONALES COMO CONTADOR EN LA ASESORÍA DE CONTROL INTERNO DEL IDT; DANDO CUMPLIMIENTO AL PLAN ANUAL DE AUDITORÍA APROBADO PARA LA VIGENCIA; MEDIANTE LA EVALUACIÓN DEL CUMPLIMIENTO NORMATIVO; LA GESTIÓN DE RIESGOS Y LA EFECTIVIDAD DE LOS CONTROLES FINANCIEROS; CONTABLES; PRESUPUESTALES Y TRIBUTARIOS; CON ENFOQUE BASADO EN RIESGOS; Y LAS DEMÁS ACTIVIDADES DE ASEGURAMIENTO QUE LE SEAN ASIGNADAS DE CONFORMIDAD CON EL PLAN ANUAL DE AUDITORÍA.</t>
  </si>
  <si>
    <t>nayibe.rodriguez@idt.gov.co</t>
  </si>
  <si>
    <t>VALERIA MARTI NIETO</t>
  </si>
  <si>
    <t>114-2026</t>
  </si>
  <si>
    <t>PRESTAR SERVICIOS PROFESIONALES PARA LA REALIZACIÓN DE PRODUCTOS AUDIOVISUALES DE ALTA  CALIDAD; QUE IMPULSEN LA PROMOCIÓN Y   POSICIONAMIENTO ESTRATÉGICO DE BOGOTÁ COMO DESTINO
TURÍSTICO.</t>
  </si>
  <si>
    <t>valeria.marti@idt.gov.co</t>
  </si>
  <si>
    <t>LEONARDO NIETO DURÁN</t>
  </si>
  <si>
    <t>115-2026</t>
  </si>
  <si>
    <t>PRESTAR SERVICIOS PROFESIONALES PARA LA IDENTIFICACIÓN Y FORTALECIMIENTO DE ALIANZAS
ESTRATÉGICAS QUE POTENCIEN LA MARCA CIUDAD Y EL POSICIONAMIENTO TURÍSTICO DE BOGOTÁ.</t>
  </si>
  <si>
    <t>leonardo.nieto@idt.gov.co</t>
  </si>
  <si>
    <t>MARIA ALEJANDRA VILLAMIZAR</t>
  </si>
  <si>
    <t>116-2026</t>
  </si>
  <si>
    <t>PRESTAR SERVICIOS DE APOYO A LA GESTIÓN PARA REALIZAR ACTIVIDADES DE EDICIÓN Y REALIZACIÓN DE
PRODUCTOS AUDIOVISUALES INSTITUCIONALES; FORTALECIENDO LA ESTRATEGIA DE PROMOCIÓN VISUAL
DE BOGOTÁ.</t>
  </si>
  <si>
    <t>maria.villamizar@idt.gov.co</t>
  </si>
  <si>
    <t>VALERIA DIAZ GUZMAN</t>
  </si>
  <si>
    <t>117-2026</t>
  </si>
  <si>
    <t>PRESTAR SERVICIOS PROFESIONALES EN LA SUBDIRECCIÓN DE MERCADEO; CON EL PROPÓSITO DE
GARANTIZAR UNA ATENCIÓN INTEGRAL A LOS TURISTAS A TRAVÉS DE LOS DISTINTOS CANALES DE LA RED
DE INFORMACIÓN TURÍSTICA DE BOGOTÁ; ASÍ COMO EN LAS ACTIVIDADES Y EVENTOS QUE SE REALICEN EN
LA CIUDAD</t>
  </si>
  <si>
    <t>valeria.diaz@idt.gov.co</t>
  </si>
  <si>
    <t>VIVIAN DEL ROSARIO MORENO PEREZ</t>
  </si>
  <si>
    <t>118-2026</t>
  </si>
  <si>
    <t>PRESTAR SERVICIOS PROFESIONALES DE APOYO A LA GESTIÓN EN LA ESTRUCTURACIÓN DE PROCESOS DE
CONTRATACIÓN ESTATAL Y EJERCER EL SEGUIMIENTO TÉCNICO; ADMINISTRATIVO Y FINANCIERO A LA
EJECUCIÓN DEL CONTRATO DE AGENCIA DE PUBLICIDAD Y MARKETING; ASEGURANDO LA ALINEACIÓN DE
CAMPAÑAS Y ESTRATEGIAS CON LOS OBJETIVOS INSTITUCIONALES.</t>
  </si>
  <si>
    <t>vivian.moreno@idt.gov.co</t>
  </si>
  <si>
    <t>NATALIA VELÁSQUEZ REYES</t>
  </si>
  <si>
    <t>119-2026</t>
  </si>
  <si>
    <t>PRESTAR SERVICIOS PROFESIONALES A LA GESTIÓN EN LA SUBDIRECCIÓN DE MERCADEO; CON EL
PROPÓSITO DE GARANTIZAR UNA ATENCIÓN INTEGRAL A LOS TURISTAS A TRAVÉS DE LOS DISTINTOS
CANALES DE LA RED DE INFORMACIÓN TURÍSTICA DE BOGOTÁ; ASÍ COMO EN LAS ACTIVIDADES Y EVENTOS
QUE SE REALICEN EN LA CIUDAD</t>
  </si>
  <si>
    <t>natalia.velasquez@idt.gov.co</t>
  </si>
  <si>
    <t>HENRY JOHAN GOMEZ CASTAÑEDA</t>
  </si>
  <si>
    <t>120-2026</t>
  </si>
  <si>
    <t>henry.gomez@idt.gov.co</t>
  </si>
  <si>
    <t>LUISA FERNANDA BARBOSA JARA</t>
  </si>
  <si>
    <t>121-2026</t>
  </si>
  <si>
    <t>PRESTAR SERVICIOS DE APOYO A LA GESTIÓN EN PROCESOS LEGALES; JURÍDICOS Y ADMINISTRATIVOS AL INSTITUTO DISTRITAL DE TURISMO.</t>
  </si>
  <si>
    <t>luisa.barbosa@idt.gov.co</t>
  </si>
  <si>
    <t>KATHERYN MAYERLY CABRERA ROA</t>
  </si>
  <si>
    <t>122-2026</t>
  </si>
  <si>
    <t>PRESTAR SERVICIOS DE APOYO A LA GESTIÓN A LA SUBDIRECCIÓN DE INTELIGENCIA Y GESTIÓN DE TECNOLOGÍAS DE LA INFORMACIÓN PARA ACOMPAÑAR Y MONITOREAR EL DESARROLLO DE LOS OPERATIVOS DE LEVANTAMIENTO Y VALIDACIÓN DE DATOS EN CAMPO.</t>
  </si>
  <si>
    <t>katheryn.cabrera@idt.gov.co</t>
  </si>
  <si>
    <t>MARCO GABRIEL LOPEZ</t>
  </si>
  <si>
    <t>123-2026</t>
  </si>
  <si>
    <t>PRESTAR SERVICIOS DE GESTIÓN; SOPORTE Y ASISTENCIA TÉCNICA INTEGRAL PARA GARANTIZAR LA OPERATIVIDAD; SEGURIDAD Y CONTINUIDAD DE LA INFRAESTRUCTURA TECNOLÓGICA; EQUIPOS Y PLATAFORMAS DIGITALES DE LA ENTIDAD; INCLUYENDO LAS LABORES DE MANTENIMIENTO Y MONITOREO NECESARIAS PARA EL FUNCIONAMIENTO ADECUADO DE LA ENTIDAD</t>
  </si>
  <si>
    <t xml:space="preserve">Córdoba </t>
  </si>
  <si>
    <t>Lorica</t>
  </si>
  <si>
    <t>marco.lopez@idt.gov.co</t>
  </si>
  <si>
    <t>JORGE HERNANDO NARANJO</t>
  </si>
  <si>
    <t>124-2026</t>
  </si>
  <si>
    <t>PRESTAR SERVICIOS DE APOYO A LA GESTIÓN MEDIANTE ACOMPAÑAMIENTO ESPECIALIZADO EN RECORRIDOS TURÍSTICOS Y ATENCIÓN DIRECTA A VISITANTES; CONTRIBUYENDO A LA ACTIVACIÓN TERRITORIAL Y CULTURAL DEL DESTINO BOGOTÁ.</t>
  </si>
  <si>
    <t>jorge.naranjo@idt.gov.co</t>
  </si>
  <si>
    <t>OLGA LILIANA FORERO</t>
  </si>
  <si>
    <t>125-2026</t>
  </si>
  <si>
    <t>olga.forero@idt.gov.co</t>
  </si>
  <si>
    <t>ANDREA PAOLA HERRERA</t>
  </si>
  <si>
    <t>126-2026</t>
  </si>
  <si>
    <t>PRESTAR SERVICIOS DE APOYO A LA GESTIÓN A LA SUBDIRECCIÓN DE INTELIGENCIA Y GESTIÓN DE
TECNOLOGÍAS DE LA INFORMACIÓN PARA ACOMPAÑAR Y MONITOREAR EL DESARROLLO DE LOS
OPERATIVOS DE LEVANTAMIENTO Y VALIDACIÓN DE DATOS EN CAMPO</t>
  </si>
  <si>
    <t>andrea.herrera@idt.gov.co</t>
  </si>
  <si>
    <t>ANGIE PULGARIN</t>
  </si>
  <si>
    <t>127-2026</t>
  </si>
  <si>
    <t>PRESTAR SERVICIOS PROFESIONALES A LA SUBDIRECCIÓN DE INTELIGENCIA Y GESTIÓN DE TECNOLOGÍAS DE LA INFORMACIÓN; ORIENTADOS A LA IMPLEMENTACIÓN Y GESTIÓN DE INICIATIVAS QUE OPTIMICEN LA
ACCESIBILIDAD EN BOGOTÁ; EN CONCORDANCIA CON LOS PRINCIPIOS DEL MODELO DE DESTINO TURÍSTICO INTELIGENTE Y QUE PROMUEVAN LA INCLUSIÓN Y ACCESIBILIDAD PARA TODAS LAS PERSONAS.</t>
  </si>
  <si>
    <t>carolina.pulgarin@idt.gov.co</t>
  </si>
  <si>
    <t>YAMILE ANDREA CEPEDA</t>
  </si>
  <si>
    <t>128-2026</t>
  </si>
  <si>
    <t>PRESTAR LOS SERVICIOS DE ADMINISTRACIÓN; ACTUALIZACIÓN; MONITOREO Y OPTIMIZACIÓN DE LAS PLATAFORMAS TECNOLÓGICAS EN LA NUBE QUE SOPORTAN LA OPERACIÓN DEL INSTITUTO DISTRITAL DE TURISMO.</t>
  </si>
  <si>
    <t>Aquitania</t>
  </si>
  <si>
    <t>yamile.cepeda@idt.gov.co</t>
  </si>
  <si>
    <t>DIANA MARITZA RUIZ</t>
  </si>
  <si>
    <t>129-2026</t>
  </si>
  <si>
    <t>diana.dimate@idt.gov.co</t>
  </si>
  <si>
    <t>DIANA ESTEFANIA SUÁREZ VARGAS</t>
  </si>
  <si>
    <t>130-2026</t>
  </si>
  <si>
    <t>PRESTAR SERVICIOS DE APOYO EN LA SUBDIRECCIÓN DE INTELIGENCIA Y GESTIÓN DE TECNOLOGÍAS DE LA INFORMACIÓN PARA REALIZAR ACTIVIDADES DE LEVANTAMIENTO DE INFORMACIÓN Y REPORTE DE TASA DE COBERTURA EN LOS ESCENARIOS O PUNTOS ASIGNADOS; CONFORME A LOS REQUERIMIENTOS Y LINEAMIENTOS TÉCNICOS DEFINIDOS POR EL ÁREA.</t>
  </si>
  <si>
    <t>diana.suarez@idt.gov.co</t>
  </si>
  <si>
    <t>KAREN JULIETH BARRERA RODRÍGUEZ</t>
  </si>
  <si>
    <t>131-2026</t>
  </si>
  <si>
    <t>PRESTAR SERVICIOS DE APOYO EN LA SUBDIRECCIÓN DE INTELIGENCIA Y GESTIÓN DE TECNOLOGÍAS DE LA INFORMACIÓN PARA REALIZAR LABORES DE ENCUESTADOR EN LOS ESCENARIOS O PUNTOS ASIGNADOS;
CONFORME A LOS REQUERIMIENTOS Y LINEAMIENTOS TÉCNICOS DEFINIDOS POR EL ÁREA.</t>
  </si>
  <si>
    <t>karen.barrera@idt.gov.co</t>
  </si>
  <si>
    <t>NATALIA MATILDE ALVARADO OLAYA</t>
  </si>
  <si>
    <t>132-2026</t>
  </si>
  <si>
    <t>PRESTAR SERVICIOS PROFESIONALES JURÍDICOS AL IDT; ORIENTADOS A BRINDAR ACOMPAÑAMIENTO EN
LOS DIFERENTES PROCESOS PRECONTRACTRUALES; CONTRACTUALES Y POS CONTRACTUALES; ASÍ COMO
LA ATENCIÓN DE REQUERIMIENTOS DE INFORMACIÓN DE ENTES DE CONTROL; CONCEJO Y DE LA
CIUDADANÍA</t>
  </si>
  <si>
    <t>natalia.alvarado@idt.gov.co</t>
  </si>
  <si>
    <t>MAIDA CECILIA ASIS UCHESE</t>
  </si>
  <si>
    <t>133-2026</t>
  </si>
  <si>
    <t>Barrancas</t>
  </si>
  <si>
    <t>maida.asis@idt.gov.co</t>
  </si>
  <si>
    <t>LISBETH DANITZA TRIANA TRIANA</t>
  </si>
  <si>
    <t>134-2026</t>
  </si>
  <si>
    <t>PRESTAR SERVICIOS PROFESIONALES EN LA SUBDIRECCIÓN DE MERCADEO PARA LA GESTIÓN TURÍSTICA EN
CANALES FÍSICOS Y DIGITALES DE LA RED DE INFORMACIÓN TURÍSTICA Y EN ESPACIOS PROMOCIONALES;
ORIENTADOS A MEJORAR LOS INDICADORES DE SATISFACCIÓN DEL VISITANTE.</t>
  </si>
  <si>
    <t>lisbeth.triana@idt.gov.co</t>
  </si>
  <si>
    <t>JAIRO ALONSO ROMERO VELASCO</t>
  </si>
  <si>
    <t>135-2026</t>
  </si>
  <si>
    <t>PRESTAR SERVICIOS DE APOYO A LA GESTIÓN PARA LA ENTREGA PERSONALIZADA DE INFORMACIÓN TURÍSTICA EN LOS DIFERENTES PUNTOS DE ATENCIÓN DE LA RED DE INFORMACIÓN TURÍSTICA; FAVORECIENDO LA SATISFACCIÓN DE TURISTAS Y RESIDENTES.</t>
  </si>
  <si>
    <t>jairo.romero@idt.gov.co</t>
  </si>
  <si>
    <t>JHON ALEXANDER PARADA VIZCAINO</t>
  </si>
  <si>
    <t>136-2026</t>
  </si>
  <si>
    <t>PRESTAR SERVICIOS PROFESIONALES JURÍDICOS AL IDT; ORIENTADOS A LA REVISIÓN Y ACOMPAÑAMIENTO
EN LOS PROCESOS PRECONTRACTRUALES; CONTRACTUALES Y POS CONTRACRUALES; ASÍ COMO LA
ATENCIÓN DE REQUERIMIENTOS ASOCIADOS A AUDITORÍAS INTERNAS Y EXTERNAS DEL IDT</t>
  </si>
  <si>
    <t>Cesar</t>
  </si>
  <si>
    <t>Bosconia</t>
  </si>
  <si>
    <t>jhon.parada@idt.gov.co</t>
  </si>
  <si>
    <t>JUAN DAVID OSTOS OVALLE</t>
  </si>
  <si>
    <t>137-2026</t>
  </si>
  <si>
    <t>PRESTAR SERVICIOS DE APOYO A LA GESTIÓN EN LA SUBDIRECCIÓN DE MERCADEO; CON EL PROPÓSITO DE
GARANTIZAR UNA ATENCIÓN INTEGRAL A LOS TURISTAS A TRAVÉS DE LOS DISTINTOS CANALES DE LA RED
DE INFORMACIÓN TURÍSTICA DE BOGOTÁ; ASÍ COMO EN LAS ACTIVIDADES Y EVENTOS QUE SE REALICEN EN LA CIUDAD</t>
  </si>
  <si>
    <t>juan.ostos@idt.gov.co</t>
  </si>
  <si>
    <t>JESSICA ALGARRA TOVAR</t>
  </si>
  <si>
    <t>138-2026</t>
  </si>
  <si>
    <t>PRESTAR SERVICIOS PROFESIONALES PARA EL DESARROLLO DE ACTIVIDADES DE APOYO ORIENTADAS A LA GENERACION DE INSUMOS TECNICOS; ANALISIS Y ORIENTACIONES DE CARACTER GENERAL QUE  CONTRIBUYAN AL FORTALECIMIENTO DE LAS INICIATIVAS ADELANTADAS POR LA SUBDIRECCION DE MERCADEO DEL INSTITUTO DISTRITAL DE TURISMO; GARANTIZANDO EL MANEJO RESERVADO DE LA INFORMACIÓN.</t>
  </si>
  <si>
    <t>Subachoque</t>
  </si>
  <si>
    <t>jessica.algarra@idt.gov.co</t>
  </si>
  <si>
    <t>JUAN CARLOS MORALES CASTAÑEDA</t>
  </si>
  <si>
    <t>139-2026</t>
  </si>
  <si>
    <t>PRESTAR SERVICIOS PROFESIONALES AL INSTITUTO DISTRITAL DE TURISMO PARA BRINDAR EL APOYO TECNICO EN EL DESARROLLO; IMPLEMENTACION Y ACTUALIZACION DEL BOT CONVERSACIONAL CANDELARIA; PARA EL FORTALECIMIENTO DE LA PROMOCIÓN TURÍSTICA DE BOGOTÁ.</t>
  </si>
  <si>
    <t>juan.morales@idt.gov.co</t>
  </si>
  <si>
    <t>EDGAR FELIPE VILLANUEVA TRIANA</t>
  </si>
  <si>
    <t>140-2026</t>
  </si>
  <si>
    <t>PRESTAR SERVICIOS PROFESIONALES EN LA SUBDIRECCIÓN DE INTELIGENCIA Y GESTIÓN DE TECNOLOGÍAS DE LA INFORMACIÓN PARA RESPALDAR LAS ACTIVIDADES DE CARÁCTER JURÍDICO Y CONTRACTUAL DEL ÁREA.</t>
  </si>
  <si>
    <t>felipe.villanueva@idt.gov.co</t>
  </si>
  <si>
    <t>ANGELA PATRICIA PUCHE</t>
  </si>
  <si>
    <t>141-2026</t>
  </si>
  <si>
    <t>PRESTAR SERVICIOS PROFESIONALES PARA APOYAR A LA DIRECCIÓN GENERAL DEL INSTITUTO DISTRITAL DE TURISMO - IDT EN LA EJECUCIÓN; SEGUIMIENTO DE PROYECTOS Y ACCIONES DE CARÁCTER JURÍDICO; EN COORDINACIÓN CON LAS ÁREAS MISIONALES; ORIENTADOS AL CUMPLIMIENTO DE LA MISIÓN Y VISIÓN INSTITUCIONALES; EN EL MARCO DEL PLAN DE DESARROLLO</t>
  </si>
  <si>
    <t>Montería</t>
  </si>
  <si>
    <t>angela.puche@idt.gov.co</t>
  </si>
  <si>
    <t xml:space="preserve">FIOR D ALIZZA PEREZ </t>
  </si>
  <si>
    <t>142-2026</t>
  </si>
  <si>
    <t>PRESTAR SERVICIOS DE APOYO AL INSTITUTO DISTRITAL DE TURISMO - IDT EN ACTIVIDADES DE POSICIONAMIENTO DE MARCA CIUDAD; DIVULGACIÓN; RELACIONAMIENTO Y POSICIONAMIENTO EN TEMAS ESTRATÉGICOS DE LA ENTIDAD</t>
  </si>
  <si>
    <t>República Dominicana</t>
  </si>
  <si>
    <t>Na</t>
  </si>
  <si>
    <t>fior.perez@idt.gov.co</t>
  </si>
  <si>
    <t xml:space="preserve">MAYRA ALEJANDRA GALINDO </t>
  </si>
  <si>
    <t>143-2026</t>
  </si>
  <si>
    <t>PRESTAR SERVICIOS PROFESIONALES COMO ABOGADO EN LA ASESORÍA DE CONTROL INTERNO DEL IDT; DANDO CUMPLIMIENTO AL PLAN ANUAL DE AUDITORÍA APROBADO PARA LA VIGENCIA; MEDIANTE LA EVALUACIÓN DEL CUMPLIMIENTO NORMATIVO; LA GESTIÓN DE RIESGOS Y LA EFECTIVIDAD DE LOS CONTROLES; CON ENFOQUE BASADO EN RIESGOS; Y LAS DEMÁS ACTIVIDADES DE ASEGURAMIENTO QUE LE SEAN ASIGNADAS DE CONFORMIDAD CON EL PLAN ANUAL DE AUDITORÍA</t>
  </si>
  <si>
    <t>Útica</t>
  </si>
  <si>
    <t>alejandra.galindo@idt.gov.co</t>
  </si>
  <si>
    <t>VERONICA ALEJANDRA RODRIGUEZ RAMOS</t>
  </si>
  <si>
    <t>144-2026</t>
  </si>
  <si>
    <t>PRESTAR SERVICIOS DE APOYO A LA GESTIÓN AL INSTITUTO DISTRITAL DE TURISMO; ORIENTADOS A APOYAR LA ESTRUCTURACIÓN Y DESARROLLO DE LOS PRODUCTOS TURÍSTICOS PRIORIZADOS POR LA ENTIDAD.</t>
  </si>
  <si>
    <t>veronica.rodriguez@idt.gov.co</t>
  </si>
  <si>
    <t>JUAN ESTEBAN CASTRO  CASTAÑEDA</t>
  </si>
  <si>
    <t>145-2026</t>
  </si>
  <si>
    <t>PRESTAR SERVICIOS DE APOYO A LA GESTIÓN PARA LA ATENCIÓN INTEGRAL E ITINERANTE MEDIANTE EL SUMINISTRO DE INFORMACIÓN TURÍSTICA DE BOGOTÁ; ASÍ COMO EL ACOMPAÑAMIENTO EN RECORRIDOS
TURÍSTICOS Y LA ATENCIÓN DIRECTA A VISITANTES; ORIENTADOS A LA DIFUSIÓN Y FORTALECIMIENTO DE LA OFERTA TURÍSTICA DE LA CIUDAD DE BOGOTÁ</t>
  </si>
  <si>
    <t>juan.castro@idt.gov.co</t>
  </si>
  <si>
    <t>ESTEBAN CRUZ COTRINA</t>
  </si>
  <si>
    <t>146-2026</t>
  </si>
  <si>
    <t>PRESTAR SERVICIOS DE APOYO EN LA SUBDIRECCIÓN DE INTELIGENCIA Y GESTIÓN DE TECNOLOGÍAS DE LA INFORMACIÓN PARA REALIZAR ACTIVIDADES DE LEVANTAMIENTO DE INFORMACIÓN Y REPORTE DE TASA DE
COBERTURA EN LOS ESCENARIOS O PUNTOS ASIGNADOS; CONFORME A LOS REQUERIMIENTOS Y LINEAMIENTOS TÉCNICOS DEFINIDOS POR EL ÁREA</t>
  </si>
  <si>
    <t>esteban.cruz@idt.gov.co</t>
  </si>
  <si>
    <t>LEIDY NATALIA NOVA GAMBOA</t>
  </si>
  <si>
    <t>147-2026</t>
  </si>
  <si>
    <t>PRESTAR SERVICIOS TÉCNICOS EN LA ASESORÍA DE CONTROL INTERNO DEL IDT; DANDO CUMPLIMIENTO AL PLAN ANUAL DE AUDITORÍA APROBADO PARA LA VIGENCIA; MEDIANTE LA EVALUACIÓN DEL CUMPLIMIENTO NORMATIVO; LA GESTIÓN DE RIESGOS Y LA EFECTIVIDAD DE LOS CONTROLES FINANCIEROS; CONTABLES; PRESUPUESTALES Y TRIBUTARIOS; CON ENFOQUE BASADO EN RIESGOS; Y LAS DEMÁS ACTIVIDADES DE ASEGURAMIENTO QUE LE SEAN ASIGNADAS DE CONFORMIDAD CON EL PLAN ANUAL DE AUDITORÍA</t>
  </si>
  <si>
    <t>leidy.nova@idt.gov.co</t>
  </si>
  <si>
    <t>ADRIANA PAOLA ALFONSO  BARRERA</t>
  </si>
  <si>
    <t>148-2026</t>
  </si>
  <si>
    <t>PRESTAR SERVICIOS PROFESIONALES PARA APOYAR AL INSTITUTO DISTRITAL DE TURISMO - IDT EN ACTIVIDADES DE POSICIONAMIENTO DE MARCA CIUDAD; DIVULGACIÓN; RELACIONAMIENTO Y POSICIONAMIENTO EN TEMAS ESTRATÉGICOS DE LA ENTIDAD</t>
  </si>
  <si>
    <t>adriana.alfonso@idt.gov.co</t>
  </si>
  <si>
    <t>MARIA XIMENA VILLOTA MONCAYO</t>
  </si>
  <si>
    <t>149-2026</t>
  </si>
  <si>
    <t>PRESTAR SERVICIOS PROFESIONALES A LA SUBDIRECCIÓN DE INTELIGENCIA Y GESTIÓN DE TECNOLOGÍAS DE LA INFORMACIÓN PARA APOYAR LAS LABORES DE ARTICULACIÓN E IMPLEMENTACIÓN DEL PLAN DE ACCIÓN DTI</t>
  </si>
  <si>
    <t>Nariño</t>
  </si>
  <si>
    <t>Pasto</t>
  </si>
  <si>
    <t>maria.villota@idt.gov.co</t>
  </si>
  <si>
    <t>DANIELA BOGOTA LEON</t>
  </si>
  <si>
    <t>150-2026</t>
  </si>
  <si>
    <t>PRESTAR SERVICIOS PROFESIONALES PARA BRINDAR SOPORTE TÉCNICO A LAS ACTIVIDADES TESORALES DE LA ENTIDAD; CON EL FIN DE APOYAR LA ADECUADA GESTIÓN DE LOS RECURSOS FINANCIEROS Y LA EJECUCIÓN DE LOS PROCESOS ASOCIADOS A PAGOS Y MANEJO DE CAJA; DE ACUERDO CON LAS NECESIDADES INSTITUCIONALES</t>
  </si>
  <si>
    <t>daniela.bogota@idt.gov.co</t>
  </si>
  <si>
    <t xml:space="preserve">CINDY BRILLITH BAUTISTA </t>
  </si>
  <si>
    <t>151-2026</t>
  </si>
  <si>
    <t>PRESTAR AL INSTITUTO DISTRITAL DE TURISMO SERVICIOS PROFESIONALES DE CARÁCTER JURÍDICO PARA
LA ATENCIÓN DE LOS TRÁMITES ADMINISTRATIVOS; LABORALES Y CONTRACTUALES QUE SE REQUIERAN EN
LA ENTIDAD.</t>
  </si>
  <si>
    <t>cindy.bautista@idt.gov.co</t>
  </si>
  <si>
    <t>ISMAEL PRIETO RODRÍGUEZ</t>
  </si>
  <si>
    <t>152-2026</t>
  </si>
  <si>
    <t>PRESTAR SERVICIOS DE APOYO A LA GESTIÓN PARA EL ACOMPAÑAMIENTO LOGÍSTICO DE LAS ACTIVIDADES ADMINISTRATIVAS DEL INSTITUTO DISTRITAL DE TURISMO REQUERIDAS PARA EL CUMPLIMIENTO DE LAS FUNCIONES INSTITUCIONALES.</t>
  </si>
  <si>
    <t>Apulo</t>
  </si>
  <si>
    <t>ismael.prieto@idt.gov.co</t>
  </si>
  <si>
    <t>ANGEL NATALY BEDOYA VASQUEZ</t>
  </si>
  <si>
    <t>153-2026</t>
  </si>
  <si>
    <t>nataly.bedoya@idt.gov.co</t>
  </si>
  <si>
    <t>MILLER ANGEL HUERTAS MORALES</t>
  </si>
  <si>
    <t>154-2026</t>
  </si>
  <si>
    <t>miller.huertas@idt.gov.co</t>
  </si>
  <si>
    <t>PAOLA ANDREA VELASQUEZ BAQUERO</t>
  </si>
  <si>
    <t>165-2026</t>
  </si>
  <si>
    <t>PRESTAR SERVICIOS PROFESIONALES JURÍDICOS EN LOS PROCESOS DE CONTRATACIÓN QUE ADELANTE EL INSTITUTO DISTRITAL DE TURISMO Y LOS DEMÁS ASUNTOS JURÍDICOS QUE LE SEAN ASIGNADOS POR LA SUPERVISIÓN DEL CONTRATO.</t>
  </si>
  <si>
    <t>Titulo profesional y Especialización relacionada con el objeto del contrato</t>
  </si>
  <si>
    <t>Desde      60     meses hasta 84 meses de experiencia profesional</t>
  </si>
  <si>
    <t>paola.velasquez@idt.gov.co</t>
  </si>
  <si>
    <t>NANCY ZAMORA</t>
  </si>
  <si>
    <t>166-2026</t>
  </si>
  <si>
    <t>PRESTAR SERVICIOS PROFESIONALES PARA APOYAR EL PROCESO DE GESTIÓN DOCUMENTAL DE LA ENTIDAD; MEDIANTE EL DESARROLLO DE ACTIVIDADES TÉCNICAS; LA ACTUALIZACIÓN DE INSTRUMENTOS ARCHIVÍSTICOS Y LA IMPLEMENTACIÓN DE LA POLÍTICA DE GESTIÓN DOCUMENTAL; EN CUMPLIMIENTO DE LA NORMATIVIDAD VIGENTE Y DE LAS FUNCIONES INSTITUCIONALES.</t>
  </si>
  <si>
    <t>San Francisco</t>
  </si>
  <si>
    <t>nancy.zamora@idt.gov.co</t>
  </si>
  <si>
    <t>170-2026</t>
  </si>
  <si>
    <t>PRESTAR SERVICIOS PROFESIONALES A LA SUBDIRECCIÓN DE DESARROLLO Y COMPETITIVIDAD PARA
BRINDAR ACOMPAÑAMIENTO JURÍDICO EN LA GESTIÓN; REVISIÓN Y SEGUIMIENTO DE LOS PROCESOS
CONTRACTUALES Y ADMINISTRATIVOS DEL ÁREA.</t>
  </si>
  <si>
    <t>172-2026</t>
  </si>
  <si>
    <t>PRESTAR SERVICIOS PROFESIONALES PARA BRINDAR ACOMPAÑAMIENTO JURÍDICO A LA SUBDIRECCIÓN DE DESARROLLO Y COMPETITIVIDAD EN LOS ASUNTOS MISIONALES; ADMINISTRATIVOS Y CONTRACTUALES DE SU COMPETENCIA.</t>
  </si>
  <si>
    <t>173-2026</t>
  </si>
  <si>
    <t>PRESTAR SERVICIOS PROFESIONALES AL INSTITUTO DISTRITAL DE TURISMO PARA APOYAR EL DESARROLLO
DEL PROGRAMA DE CULTURA TURÍSTICA EN BOGOTÁ D.C.; CON ÉNFASIS EN COLEGIOS AMIGOS DEL
TURISMO.</t>
  </si>
  <si>
    <t>174-2026</t>
  </si>
  <si>
    <t>PRESTAR SERVICIOS PROFESIONALES AL INSTITUTO DISTRITAL DE TURISMO PARA APOYAR LA
ARTICULACIÓN CON LOS ACTORES TERRITORIALES QUE INTEGRAN EL SISTEMA TURÍSTICO EN LAS
LOCALIDADES PRIORIZADAS DEL DISTRITO; PROMOVIENDO SU PARTICIPACIÓN EN ESPACIOS Y MESAS
LOCALES ORIENTADOS AL FORTALECIMIENTO DE LA GOBERNANZA TURÍSTICA.</t>
  </si>
  <si>
    <t>176-2026</t>
  </si>
  <si>
    <t>PRESTAR SERVICIOS PROFESIONALES AL INSTITUTO DISTRITAL DE TURISMO PARA APOYAR LA
IMPLEMENTACIÓN DE LA ESTRATEGIA DE PROMOCIÓN DEL TURISMO ACCESIBLE EN BOGOTÁ D.C.</t>
  </si>
  <si>
    <t>177-2026</t>
  </si>
  <si>
    <t>PRESTAR SERVICIOS PROFESIONALES AL INSTITUTO DISTRITAL DE TURISMO PARA APOYAR LAS ACCIONES DE FORTALECIMIENTO DEL SISTEMA TURÍSTICO LOCAL EN LAS LOCALIDADES PRIORIZADAS DEL DISTRITO; INCORPORANDO ENFOQUES DIFERENCIALES Y POBLACIONALES EN LAS ACTIVIDADES DESARROLLADAS CON LOS ACTORES TERRITORIALES.</t>
  </si>
  <si>
    <t>ALVARO FELIPE GARZON NIÑO</t>
  </si>
  <si>
    <t>178-2026</t>
  </si>
  <si>
    <t>PRESTAR SERVICIOS PROFESIONALES AL INSTITUTO DISTRITAL DE TURISMO COMO COMUNICADOR SOCIAL Y PERIODISTA PARA APOYAR LAS ESTRATEGIAS DE RELACIONAMIENTO; COMUNICACIÓN Y POSICIONAMIENTO DE LA SUBDIRECCIÓN</t>
  </si>
  <si>
    <t>179-2026</t>
  </si>
  <si>
    <t>PRESTAR SERVICIOS PROFESIONALES AL INSTITUTO DISTRITAL DE TURISMO PARA APOYAR LA GESTIÓN;
IMPLEMENTACIÓN Y ARTICULACIÓN DE LAS POLÍTICAS PÚBLICAS DISTRITALES RELACIONADAS CON EL
SECTOR TURISMO DE BOGOTA.</t>
  </si>
  <si>
    <t>180-2026</t>
  </si>
  <si>
    <t>PRESTAR SERVICIOS PROFESIONALES AL INSTITUTO DISTRITAL DE TURISMO PARA BRINDAR APOYO EN ACTIVIDADES DE ESTRUCTURACIÓN; SEGUIMIENTO Y GESTIÓN DE PROYECTOS DE INFRAESTRUCTURA TURÍSTICA EN EL MARCO DE LAS COMPETENCIAS DE LA SUBDIRECCIÓN DE DESARROLLO Y COMPETITIVIDAD</t>
  </si>
  <si>
    <t>ANGELA MILENA PANTOJA GARZON</t>
  </si>
  <si>
    <t>181-2026</t>
  </si>
  <si>
    <t>PRESTAR SERVICIOS PROFESIONALES AL INSTITUTO DISTRITAL DE TURISMO PARA ADELANTAR ACCIONES DE FORTALECIMIENTO EMPRESARIAL DIRIGIDAS A LOS ACTORES DE LA CADENA DE VALOR Y CONEXOS AL
SECTOR TURÍSTICO DE BOGOTÁ.</t>
  </si>
  <si>
    <t>182-2026</t>
  </si>
  <si>
    <t>PRESTAR SERVICIOS PROFESIONALES AL INSTITUTO DISTRITAL DE TURISMO PARA APOYAR LAS
ACTIVIDADES DEL PROGRAMA DE PREVENCIÓN DE LA ESCNNA Y LA TRATA DE PERSONAS EN EL CONTEXTO
DEL TURISMO EN BOGOTÁ D.C.</t>
  </si>
  <si>
    <t>183-2026</t>
  </si>
  <si>
    <t>PRESTAR SERVICIOS DE APOYO A LA GESTIÓN AL INSTITUTO DISTRITAL DE TURISMO PARA APOYAR LA IMPLEMENTACIÓN DE ACCIONES DE PROMOCIÓN DE LA SEGURIDAD TURÍSTICA EN BOGOTÁ D.C.</t>
  </si>
  <si>
    <t>184-2026</t>
  </si>
  <si>
    <t>PRESTAR SERVICIOS PROFESIONALES A LA SUBDIRECCIÓN DE DESARROLLO Y COMPETITIVIDAD PARA
APOYAR JURÍDICAMENTE LA ESTRUCTURACIÓN; SEGUIMIENTO Y DEMÁS ACTUACIONES RELACIONADAS CON
LOS PROCESOS CONTRACTUALES DE BIENES Y SERVICIOS DEL ÁREA.</t>
  </si>
  <si>
    <t>185-2026</t>
  </si>
  <si>
    <t>PRESTAR SERVICIOS PROFESIONALES AL INSTITUTO DISTRITAL DE TURISMO PARA APOYAR LA IMPLEMENTACIÓN DE PROCESOS DE FORTALECIMIENTO BAJO ESTRATEGIAS DE SOSTENIBILIDAD TURÍSTICA ORIENTADAS AL FORTALECIMIENTO DE LA CADENA DE VALOR DEL TURISMO Y SECTORES CONEXOS.</t>
  </si>
  <si>
    <t>186-2026</t>
  </si>
  <si>
    <t>PRESTAR SERVICIOS PROFESIONALES AL INSTITUTO DISTRITAL DE TURISMO PARA BRINDAR
ACOMPAÑAMIENTO EN EL DESARROLLO DE LAS EXPERIENCIAS TURÍSTICAS DEL PRODUCTO TURÍSTICO
GASTRONÓMICO; EN CONCORDANCIA CON LAS POLÍTICAS; ESTRATEGIAS; METAS Y PROYECTOS
INSTITUCIONALES</t>
  </si>
  <si>
    <t>LISSETH CATHERINE SANCHEZ NIETO</t>
  </si>
  <si>
    <t>187-2026</t>
  </si>
  <si>
    <t>PRESTAR SERVICIOS PROFESIONALES AL INSTITUTO DISTRITAL DE TURISMO PARA APOYAR LA
ESTRUCTURACIÓN; IMPLEMENTACIÓN Y SEGUIMIENTO DE ESTRATEGIAS ORIENTADAS AL IMPULSO Y
FORTALECIMIENTO DE PROYECTOS EMPRESARIALES DEL SECTOR TURÍSTICO DE BOGOTÁ.</t>
  </si>
  <si>
    <t>LUISA FERNANDA TORRES MOYA</t>
  </si>
  <si>
    <t>188-2026</t>
  </si>
  <si>
    <t>PRESTAR SERVICIOS PROFESIONALES COMO ABOGADO EN LA ASESORÍA DE CONTROL INTERNO DEL IDT;
DANDO CUMPLIMIENTO AL PLAN ANUAL DE AUDITORÍA APROBADO PARA LA VIGENCIA; MEDIANTE LA
EVALUACIÓN DEL CUMPLIMIENTO NORMATIVO; LA GESTIÓN DE RIESGOS Y LA EFECTIVIDAD DE LOS
CONTROLES; CON ENFOQUE BASADO EN RIESGOS; Y LAS DEMÁS ACTIVIDADES DE ASEGURAMIENTO QUE LE
SEAN ASIGNADAS DE CONFORMIDAD CON EL PLAN ANUAL DE AUDITORÍA.</t>
  </si>
  <si>
    <t xml:space="preserve">luisa.torres@idt.gov.co </t>
  </si>
  <si>
    <t>189-2026</t>
  </si>
  <si>
    <t>PRESTAR SERVICIOS DE APOYO A LA GESTIÓN AL INSTITUTO DISTRITAL DE TURISMO PARA APOYAR LA
EJECUCIÓN Y SEGUIMIENTO DE LAS ACTIVIDADES ADMINISTRATIVAS Y MISIONALES DE LA SUBDIRECCIÓN DE DESARROLLO Y COMPETITIVIDAD.</t>
  </si>
  <si>
    <t>190-2026</t>
  </si>
  <si>
    <t>PRESTAR SERVICIOS PROFESIONALES AL INSTITUTO DISTRITAL DE TURISMO PARA ACOMPAÑAR A LOS
ACTORES DEL SISTEMA TURÍSTICO EN LAS LOCALIDADES PRIORIZADAS DEL DISTRITO CAPITAL; MEDIANTE
ACCIONES ORIENTADAS AL FORTALECIMIENTO DE CAPACIDADES Y A LA PARTICIPACIÓN TERRITORIAL.</t>
  </si>
  <si>
    <t>191-2026</t>
  </si>
  <si>
    <t>PRESTAR SERVICIOS PROFESIONALES A LA SUBDIRECCIÓN DE DESARROLLO Y COMPETITIVIDAD PARA
APOYAR LA REVISIÓN; SEGUIMIENTO Y ANÁLISIS FINANCIERO Y PRESUPUESTAL DE LOS PROYECTOS DE
INVERSIÓN ASIGNADOS AL ÁREA.</t>
  </si>
  <si>
    <t>192-2026</t>
  </si>
  <si>
    <t>PRESTAR SERVICIOS PROFESIONALES AL INSTITUTO DISTRITAL DE TURISMO PARA ACOMPAÑAR A LOS
ACTORES DEL SISTEMA TURÍSTICO EN LAS LOCALIDADES PRIORIZADAS DEL DISTRITO CAPITAL; MEDIANTE ACCIONES ORIENTADAS AL FORTALECIMIENTO DE CAPACIDADES Y A LA PARTICIPACIÓN TERRITORIAL.</t>
  </si>
  <si>
    <t>193-2026</t>
  </si>
  <si>
    <t>PRESTAR SERVICIOS PROFESIONALES AL INSTITUTO DISTRITAL DE TURISMO PARA APOYAR LA GESTIÓN DE LOS PROCESOS DE PLANEACIÓN INSTITUCIONAL; SEGUIMIENTO AL CUMPLIMIENTO DE METAS Y FORTALECIMIENTO DE LAS ACCIONES RELACIONADAS CON EL SISTEMA INTEGRADO DE GESTIÓN DE CALIDAD</t>
  </si>
  <si>
    <t>194-2026</t>
  </si>
  <si>
    <t>PRESTAR SERVICIOS PROFESIONALES AL INSTITUTO DISTRITAL DE TURISMO PARA APOYAR EL DESARROLLO
Y FORTALECIMIENTO DEL PRODUCTO TURÍSTICO DE SALUD DE BOGOTÁ; EN SUS COMPONENTES MÉDICO Y DE BIENESTAR; EN CONCORDANCIA CON LAS POLÍTICAS; ESTRATEGIAS; METAS Y PROYECTOS INSTITUCIONALES.</t>
  </si>
  <si>
    <t>CINDY BRILLITH BAUTISTA CARDENAS</t>
  </si>
  <si>
    <t>195-2026</t>
  </si>
  <si>
    <t>PRESTAR SERVICIOS PROFESIONALES PARA BRINDAR APOYO Y ACOMPAÑAMIENTO JURÍDICO A LA
SUBDIRECCIÓN DE MERCADEO EN LOS ASUNTOS REQUERIDOS PARA EL DESARROLLO DE SUS PLANES;
PROGRAMAS; PROYECTOS E INICIATIVAS; INCLUYENDO LA GESTIÓN DE LOS PROCESOS
PRECONTRACTUALES; CONTRACTUALES Y POSCONTRACTUALES; CONTRIBUYENDO AL CUMPLIMIENTO DEL
MARCO NORMATIVO APLICABLE.</t>
  </si>
  <si>
    <t>DIANA NATALIA CORTES GALLEGO</t>
  </si>
  <si>
    <t>196-2026</t>
  </si>
  <si>
    <t>PRESTAR SERVICIOS PROFESIONALES AL INSTITUTO DISTRITAL DE TURISMO PARA LA IDENTIFICACIÓN Y
FORTALECIMIENTO DE ALIANZAS ESTRATÉGICAS QUE POTENCIEN LA MARCA CIUDAD Y APOYAR LOS TEMAS
DE ESTRATEGIA DE COMUNICACION PARA EL POSICIONAMIENTO TURÍSTICO DE BOGOTÁ.</t>
  </si>
  <si>
    <t xml:space="preserve">Risaralda </t>
  </si>
  <si>
    <t>Pereira</t>
  </si>
  <si>
    <t xml:space="preserve">diana.cortes@idt.gov.co </t>
  </si>
  <si>
    <t>ANGIE PAOLA SUAREZ RODRIGUEZ</t>
  </si>
  <si>
    <t>197-2026</t>
  </si>
  <si>
    <t>PRESTAR SERVICIOS DE APOYO A LA GESTIÓN EN LA SUBDIRECCIÓN DE MERCADEO; ORIENTADOS AL
SEGUIMIENTO Y CONTROL DE PLANES DE MEJORAMIENTO; LA ATENCIÓN DE REQUERIMIENTOS
INSTITUCIONALES Y DE ENTES DE CONTROL; LA ACTUALIZACIÓN DE INSTRUMENTOS DE GESTIÓN
INSTITUCIONAL; ASÍ COMO EL APOYO A LA FORMULACIÓN; MONITOREO Y SEGUIMIENTO DE PLANES;
POLÍTICAS Y COMPROMISOS EN EL MARCO DEL MODELO INTEGRADO DE PLANEACIÓN Y GESTIÓN (MIPG)</t>
  </si>
  <si>
    <t>JOHANA ANDREA RUBIANO DUARTE</t>
  </si>
  <si>
    <t>198-2026</t>
  </si>
  <si>
    <t>PRESTAR SERVICIOS PROFESIONALES PARA DESARROLLAR ACCIONES DE ARTICULACIÓN INSTITUCIONAL Y RELACIONAMIENTO ESTRATÉGICO QUE FAVOREZCAN LA PROMOCIÓN; COMERCIALIZACIÓN Y VISIBILIZACIÓN DE LA OFERTA TURÍSTICA DE BOGOTÁ</t>
  </si>
  <si>
    <t>199-2026</t>
  </si>
  <si>
    <t>PRESTAR SERVICIOS PROFESIONALES EN LA SUBDIRECCIÓN DE MERCADEO; CON EL FIN DE APOYAR EL SEGUIMIENTO A LA EJECUCIÓN Y LA GESTIÓN DE LOS CONVENIOS Y/O CONTRATOS DEL ÁREA; MEDIANTE EL
ANÁLISIS TÉCNICO Y FINANCIERO CORRESPONDIENTE; LA EMISIÓN DE ALERTAS REQUERIDAS Y EL
ASEGURAMIENTO DEL CUMPLIMIENTO DE LOS LINEAMIENTOS INSTITUCIONALES; NORMATIVOS Y
PRESUPUESTALES VIGENTES.</t>
  </si>
  <si>
    <t>YULY PATRICIA GARCIA PALACIOS</t>
  </si>
  <si>
    <t>200-2026</t>
  </si>
  <si>
    <t>PRESTAR SERVICIOS PROFESIONALES EN LA SUBDIRECCIÓN DE MERCADEO ORIENTADOS AL SEGUIMIENTO; CONTROL Y EVALUACIÓN DE LA EJECUCIÓN DE LOS CONVENIOS Y CONTRATOS DEL ÁREA; MEDIANTE LA REVISIÓN; VERIFICACIÓN Y VALIDACIÓN; EL ANÁLISIS TÉCNICO Y FINANCIERO; ASÍ COMO LA ORIENTACION
 CONTRIBUYAN A LA TOMA DE DECISIONES; EL FORTALECIMIENTO DE LA GESTIÓN CONTRACTUAL Y LA ATENCIÓN DE REQUERIMIENTOS INSTITUCIONALES Y DE ENTES DE CONTROL DE LA SUBDIRECCIÓN DE MERCADEO</t>
  </si>
  <si>
    <t>JESSICA PAOLA ALGARRA TOVAR</t>
  </si>
  <si>
    <t>201-2026</t>
  </si>
  <si>
    <t>PRESTAR SERVICIOS PROFESIONALES PARA APOYAR A LA SUBDIRECCIÓN DE MERCADEO EN LA GENERACIÓN DE INSUMOS TÉCNICOS; ANÁLISIS; DOCUMENTOS E INFORMES DE CARÁCTER ESTRATÉGICO QUE FORTALEZCAN LA TOMA DE DECISIONES Y EL DESARROLLO DE LAS INICIATIVAS INSTITUCIONALES;
GARANTIZANDO EL SEGUIMIENTO DE LAS ACTIVIADES DE LA SUBDIRECCIÓN.</t>
  </si>
  <si>
    <t>202-2026</t>
  </si>
  <si>
    <t>PRESTAR SERVICIOS PROFESIONALES AL INSTITUTO DISTRITAL DE TURISMO PARA APOYAR EL DESARROLLO Y FORTALECIMIENTO DE LOS PRODUCTOS DE TURISMO DE NATURALEZA Y TURISMO DEPORTIVO EN BOGOTÁREGIÓN; EN CONCORDANCIA CON LAS POLÍTICAS; ESTRATEGIAS; METAS Y PROYECTOS INSTITUCIONALES.</t>
  </si>
  <si>
    <t>203-2026</t>
  </si>
  <si>
    <t>PRESTAR SERVICIOS PROFESIONALES AL INSTITUTO DISTRITAL DE TURISMO PARA APOYAR EL DESARROLLO
Y FORTALECIMIENTO DEL PRODUCTO TURÍSTICO CULTURAL DE BOGOTÁ-REGIÓN; EN CONCORDANCIA CON
LAS POLÍTICAS; ESTRATEGIAS; METAS Y PROYECTOS INSTITUCIONALES.</t>
  </si>
  <si>
    <t>204-2026</t>
  </si>
  <si>
    <t>PRESTAR SERVICIOS PROFESIONALES AL INSTITUTO DISTRITAL DE TURISMO PARA APOYAR LA EJECUCIÓN
DE LA ESTRATEGIA DE TURISMO ACCESIBLE DE BOGOTÁ; MEDIANTE ACCIONES ORIENTADAS A LA INCLUSIÓN
DE PERSONAS CON DISCAPACIDAD AUDITIVA Y LA PROMOCIÓN DE LA LENGUA DE SEÑAS COLOMBIANA (LSC).</t>
  </si>
  <si>
    <t>205-2026</t>
  </si>
  <si>
    <t>PRESTAR SERVICIOS PROFESIONALES AL INSTITUTO DISTRITAL DE TURISMO PARA APOYAR LAS
ACTIVIDADES ADMINISTRATIVAS Y DOCUMENTALES ASOCIADAS A LOS PROCESOS DE GESTIÓN TERRITORIAL
Y LAS POLÍTICAS PÚBLICAS RELACIONADAS</t>
  </si>
  <si>
    <t>206-2026</t>
  </si>
  <si>
    <t>PRESTAR SERVICIOS DE APOYO A LA GESTIÓN PARA ACOMPAÑAR LAS ACTIVIDADES OPERATIVAS;
DOCUMENTALES Y DE SEGUIMIENTO REQUERIDAS PARA LA EJECUCIÓN DE ACTIVIDADES LOGÍSTICAS Y DE
BTL DEL INSTITUTO DISTRITAL DE TURISMO.</t>
  </si>
  <si>
    <t>JULIAN ANDRES DAZA MENDEZ</t>
  </si>
  <si>
    <t>207-2026</t>
  </si>
  <si>
    <t>PRESTAR SERVICIOS PROFESIONALES PARA APOYAR LA IMPLEMENTACIÓN DE LA ESTRATEGIA DE
FORTALECIMIENTO A PROYECTOS TURÍSTICOS DE BOGOTÁ; MEDIANTE EL ACOMPAÑAMIENTO A INICIATIVAS
DEL SECTOR CON ENFOQUE DE INNOVACIÓN Y EL SEGUIMIENTO A PROYECTOS.</t>
  </si>
  <si>
    <t xml:space="preserve"> julian.daza@idt.gov.co</t>
  </si>
  <si>
    <t>209-2026</t>
  </si>
  <si>
    <t>PRESTAR SERVICIOS PROFESIONALES PARA APOYAR EL SEGUIMIENTO TÉCNICO; OPERATIVO Y
ESTRATÉGICO DE LAS ACTIVIDADES LOGÍSTICAS Y DE BTL DEL INSTITUTO DISTRITAL DE TURISMO.</t>
  </si>
  <si>
    <t>CLAUDIA MARCELA GARCIA CIFUENTES</t>
  </si>
  <si>
    <t>211-2026</t>
  </si>
  <si>
    <t>PRESTAR SERVICIOS PROFESIONALES PARA LA PLANEACIÓN; FORMULACIÓN; ARTICULACIÓN Y SEGUIMIENTO
DE ESTRATEGIAS E INICIATIVAS ORIENTADAS AL FORTALECIMIENTO DEL TURISMO EN BOGOTÁ; MEDIANTE LA
ARTICULACIÓN INTERINSTITUCIONAL Y EL RELACIONAMIENTO ESTRATÉGICO CON ACTORES PÚBLICOS;
PRIVADOS; NACIONALES E INTERNACIONALES; QUE CONTRIBUYAN AL CUMPLIMIENTO DE LOS OBJETIVOS MISIONALES DE LA ENTIDAD.</t>
  </si>
  <si>
    <t>YAMILE VIVIANA LEON PUERTO</t>
  </si>
  <si>
    <t>212-2026</t>
  </si>
  <si>
    <t>PRESTAR SERVICIOS PROFESIONALES AL INSTITUTO DISTRITAL DE TURISMO PARA APOYAR LOS PROCESOS DE GESTIÓN DOCUMENTAL Y ARCHIVÍSTICA; ORIENTADOS A LA ORGANIZACIÓN; CONSERVACIÓN Y CONTROL DE LA INFORMACIÓN INSTITUCIONAL.</t>
  </si>
  <si>
    <t>viviana.leon@idt.gov.co</t>
  </si>
  <si>
    <t>213-2026</t>
  </si>
  <si>
    <t>PRESTAR SERVICIOS PROFESIONALES PARA EL DESARROLLO Y FORTALECIMIENTO DE SOLUCIONES DIGITALES Y MÓVILES ORIENTADAS A APOYAR LAS ACCIONES DE PROMOCIÓN Y POSICIONAMIENTO DE BOGOTÁ COMO DESTINO TURÍSTICO.</t>
  </si>
  <si>
    <t>SANTIAGO ERNESTO SUAREZ MONTENEGRO</t>
  </si>
  <si>
    <t>214-2026</t>
  </si>
  <si>
    <t>PRESTAR SERVICIOS PROFESIONALES EN LA SUBDIRECCIÓN DE MERCADEO; CON EL PROPÓSITO DE
GARANTIZAR UNA ATENCIÓN INTEGRAL A LOS TURISTAS A TRAVÉS DE LOS DISTINTOS CANALES DE LA RED DE INFORMACIÓN TURÍSTICA DE BOGOTÁ; ASÍ COMO EN LAS ACTIVIDADES Y EVENTOS QUE SE REALICEN EN
LA CIUDAD</t>
  </si>
  <si>
    <t>No requiere experiencia</t>
  </si>
  <si>
    <t>santiago.suarez@idt.gov.co</t>
  </si>
  <si>
    <t>215-2026</t>
  </si>
  <si>
    <t>PRESTAR SERVICIOS DE APOYO A LA GESTIÓN; ADMINISTRACIÓN Y OPERACIÓN DE LAS PLATAFORMAS DIGITALES DE PROMOCIÓN TURÍSTICA DE LA SUBDIRECCIÓN DE MERCADEO; MEDIANTE ACTIVIDADES DE PROGRAMACIÓN; SOPORTE Y MANTENIMIENTO QUE CONTRIBUYAN AL FORTALECIMIENTO DEL ECOSISTEMA
WEB INSTITUCIONAL.</t>
  </si>
  <si>
    <t>216-2026</t>
  </si>
  <si>
    <t>PRESTAR SERVICIOS PROFESIONALES PARA APOYAR LA INTERNACIONALIZACIÓN DE LA PROMOCIÓN TURÍSTICA MEDIANTE LA TRADUCCIÓN E INTERPRETACIÓN MULTILINGÜE DE CONTENIDOS; GARANTIZANDO SU PERTINENCIA CULTURAL Y LINGÜÍSTICA PARA LOS MERCADOS OBJETIVO.</t>
  </si>
  <si>
    <t>ANDREA SORAYA SALAMANCA MESA</t>
  </si>
  <si>
    <t>217-2026</t>
  </si>
  <si>
    <t>PRESTAR SERVICIOS PROFESIONALES AL INSTITUTO DISTRITAL DE TURISMO PARA BRINDAR ACOMPAÑAMIENTO EN LA EJECUCIÓN DE LOS PLANES DE ACCIÓN LOCAL DE TURISMO; ASÍ COMO APOYAR EL DESARROLLO DE LOS PROCESOS; ACTIVIDADES Y ACCIONES RELACIONADAS CON LA ESTRATEGIA DE GESTIÓN TERRITORIAL DEL TURISMO EN LAS DISTINTAS LOCALIDADES DEL DISTRITO CAPITAL.</t>
  </si>
  <si>
    <t>Sogamoso</t>
  </si>
  <si>
    <t>andrea.salamanca@idt.gov.co</t>
  </si>
  <si>
    <t>220-2026</t>
  </si>
  <si>
    <t>PRESTAR SERVICIOS PROFESIONALES AL INSTITUTO DISTRITAL DE TURISMO; ORIENTADOS A APOYAR LA
GESTIÓN TERRITORIAL EN MATERIA TURISTICA Y DE PROMOCIÓN DE CIUDAD QUE REALIZA LA ENTIDAD.</t>
  </si>
  <si>
    <t>DAVID RICARDO MANJARRES SABOGAL</t>
  </si>
  <si>
    <t>221-2026</t>
  </si>
  <si>
    <t>PRESTAR SERVICIOS PROFESIONALES AL INSTITUTO DISTRITAL DE TURISMO PARA LA GENERACIÓN DE CONTENIDOS AUDIOVISUALES; MEDIANTE LA REALIZACIÓN DE CUBRIMIENTOS; EL REGISTRO Y LA DOCUMENTACIÓN FOTOGRÁFICA Y AUDIOVISUAL PARA LAS ACTIVIDADES QUE SE DESARROLLEN EN EL MARCO DE LA ESTRATEGIA DE PROMOCIÓN DE CIUDAD; ASÍ COMO LA EDICIÓN Y ELABORACIÓN DE MATERIALES VISUALES DESTINADOS A LA PROMOCIÓN DE CIUDAD Y A LA COMUNICACIÓN INTERNA Y
EXTERNA DEL IDT.</t>
  </si>
  <si>
    <t>david.sabogal@idt.gov.co</t>
  </si>
  <si>
    <t>222-2026</t>
  </si>
  <si>
    <t>PRESTAR SERVICIOS DE APOYO A LA GESTIÓN EN ACTIVIDADES DOCUMENTALES Y OPERATIVAS QUE SE REQUIERAN EN LA OFICINA JURÍDICA DEL INSTITUTO DISTRITAL DE TURISMO.</t>
  </si>
  <si>
    <t>223-2026</t>
  </si>
  <si>
    <t>PRESTAR SERVICIOS DE APOYO A LA GESTIÓN EN ACTIVIDADES ARCHIVISTICAS Y DE MANEJO DOCUMENTAL QUE SE REQUIERAN EN LA OFICINA JURÍDICA DEL IDT</t>
  </si>
  <si>
    <t>LAURA VANESSA TUNJANO SOLER</t>
  </si>
  <si>
    <t>224-2026</t>
  </si>
  <si>
    <t>Título de Formación técnico o tecnólogo, o terminación y aprobación de materias que conforman el pensum académico</t>
  </si>
  <si>
    <t>laura.tunjano@idt.gov.co</t>
  </si>
  <si>
    <t>BARBARA GONZALEZ CRUZ</t>
  </si>
  <si>
    <t>225-2026</t>
  </si>
  <si>
    <t>PRESTAR SERVICIOS PROFESIONALES PARA APOYAR A LA SUBDIRECCIÓN DE PLANEACIÓN EN EL SEGUIMIENTO, FORTALECIMIENTO Y EJECUCIÓN DE LAS ACCIONES DE CONTROL SOCIAL Y PARTICIPACIÓN CIUDADANA, GARANTIZANDO EL CUMPLIMIENTO DE LOS LINEAMIENTOS INSTITUCIONALES Y DISTRITALES, ASÍ COMO LA ADECUADA ARTICULACIÓN CON LOS DIFERENTES ESPACIOS Y HERRAMIENTAS DE PARTICIPACIÓN.</t>
  </si>
  <si>
    <t>barbara.gonzalez@idt.gov.co</t>
  </si>
  <si>
    <t>BLANCA LIBIA DUARTE LOZADA</t>
  </si>
  <si>
    <t>227-2026</t>
  </si>
  <si>
    <t>PRESTAR SERVICIOS PROFESIONALES PARA LA CONCEPTUALIZACIÓN; DISEÑO Y ADAPTACIÓN DE RECURSOS GRÁFICOS Y VISUALES QUE APOYEN LAS ACCIONES DE MERCADEO Y PROMOCIÓN TURÍSTICA LIDERADAS POR EL INSTITUTO DISTRITAL DE TURISMO.</t>
  </si>
  <si>
    <t>blanca.duarte@idt.gov.co</t>
  </si>
  <si>
    <t>LUIS STEBAN CHURON DIAZ</t>
  </si>
  <si>
    <t>228-2026</t>
  </si>
  <si>
    <t>PRESTAR SERVICIOS DE APOYO A LA GESTIÓN AL INSTITUTO DISTRITAL DE TURISMO PARA CONTRIBUIR AL DESARROLLO Y SEGUIMIENTO DE LAS ACCIONES ORIENTADAS AL CUMPLIMIENTO DE LOS PRODUCTOS Y COMPROMISOS ESTABLECIDOS EN LA POLÍTICA PÚBLICA RROM</t>
  </si>
  <si>
    <t>luis.churon@idt.gov.co</t>
  </si>
  <si>
    <t>229-2026</t>
  </si>
  <si>
    <t>PRESTAR LOS SERVICIOS PROFESIONALES AL INSTITUTO DISTRITAL DE TURISMO
ORIENTADOS A LA OPTIMIZACIÓN DE LA GESTIÓN INTEGRAL DE LA ENTIDAD;
MEDIANTE ACTIVIDADES DE APOYO EN PROCESOS CONTRACTUALES Y
ADMINISTRATIVOS; EN EL MARCO DEL MODELO INTEGRADO DE PLANEACIÓN Y
GESTIÓN (MIPG)</t>
  </si>
  <si>
    <t>NATALIA VELASQUEZ REYES</t>
  </si>
  <si>
    <t>230-2026</t>
  </si>
  <si>
    <t>PRESTAR SERVICIOS PROFESIONALES EN EL INSTITUTO DISTRITAL DE TURISMO; PARA LA GENERACIÓN DE CONTENIDOS EN REDES SOCIALES Y ESTRATEGIAS DE COMUNICACIONES QUE CONTRIBUYAN AL POSICIONAMIENTO DE BOGOTÁ COMO DESTINO TURISTICO A NIVEL NACIONAL E INTERNACIONAL</t>
  </si>
  <si>
    <t>LUZ AMPARO SIERRA ROJAS</t>
  </si>
  <si>
    <t>232-2026</t>
  </si>
  <si>
    <t>PRESTAR SERVICIOS PROFESIONALES PARA LA DEFENSA JUDICIAL EN LOS
PROCESOS LITIGIOSOS EN LOS QUE SEA PARTE EL IDT.</t>
  </si>
  <si>
    <t>luz.sierra@idt.gov.co</t>
  </si>
  <si>
    <t>MABEL ANGELICA SAAVEDRA ACOSTA</t>
  </si>
  <si>
    <t>233-2026</t>
  </si>
  <si>
    <t>mabel.saavedra@idt.gov.co</t>
  </si>
  <si>
    <t>DIANA MAYERLY MORENO LOPEZ</t>
  </si>
  <si>
    <t>234-2026</t>
  </si>
  <si>
    <t>PRESTAR SERVICIOS PROFESIONALES A LA OFICINA JURÍDICA PARA APOYAR LAS DIFERENTES ETAPAS DE
LOS PROCESOS DE CONTRATACIÓN QUE ADELANTA EL INSTITUTO DISTRITAL DE TURISMO.</t>
  </si>
  <si>
    <t>235-2026</t>
  </si>
  <si>
    <t>PRESTAR SERVICIOS PROFESIONALES PARA LA ELABORACIÓN Y TRÁMITE DE LOS PROCESOS
ADMINISTRATIVOS Y DE CONTRATACIÓN QUE ADELANTE EL INSTITUTO DISTRITAL DE TURISMO.</t>
  </si>
  <si>
    <t>INCAPACIDADES</t>
  </si>
  <si>
    <t>NOMBRE</t>
  </si>
  <si>
    <t>ASIGNACION BASICA</t>
  </si>
  <si>
    <t>% GASTOS DE REPRESENTACION</t>
  </si>
  <si>
    <t>GASTOS DE REPRESENTACION</t>
  </si>
  <si>
    <t>PORCENTAJE DE PRIMA TECNICA</t>
  </si>
  <si>
    <t>PRIMA TÉCNICA MENSUAL</t>
  </si>
  <si>
    <t>PRIMA DE ANTIGÜEDAD</t>
  </si>
  <si>
    <t>INCAPACIDAD</t>
  </si>
  <si>
    <t>DIAS INCAPACIDAD MENOS 3 DIAS</t>
  </si>
  <si>
    <t>SUELDO POR INCAPACIDAD</t>
  </si>
  <si>
    <t>GTOS. REPRESENTACION POR INCAPACIDAD</t>
  </si>
  <si>
    <t>PRIMA TECNICA POR INCAPACIDAD</t>
  </si>
  <si>
    <t>PRIMA DE ANTIGÜEDAD POR INCAPACIDAD</t>
  </si>
  <si>
    <t>TOTAL</t>
  </si>
  <si>
    <t>SUBDIRECTOR DE GESTION CORPORATIVA Y CTROL. DISCIPLINARIO</t>
  </si>
  <si>
    <t>DIRECTORA GENERAL</t>
  </si>
  <si>
    <t>ELABORO: ALBERTO A. AMAYA</t>
  </si>
  <si>
    <t xml:space="preserve">REVISO: </t>
  </si>
  <si>
    <t>BONIFICACION POR SERVICIOS</t>
  </si>
  <si>
    <t>FECHA INGRESO</t>
  </si>
  <si>
    <t xml:space="preserve">ASIGNACION BASICA </t>
  </si>
  <si>
    <t>GASTOS  DE REPRESENTACION</t>
  </si>
  <si>
    <t xml:space="preserve">PORCENTAJE </t>
  </si>
  <si>
    <t xml:space="preserve">VALOR BONIFICACIÓN </t>
  </si>
  <si>
    <t>Asesor</t>
  </si>
  <si>
    <t xml:space="preserve">Profesional Especializado </t>
  </si>
  <si>
    <t>Secretaria Ejecutiva</t>
  </si>
  <si>
    <t>Subdirector Tecnico</t>
  </si>
  <si>
    <t>SUBDIRECTOR GESTION CORPORATIVA Y CONTROL DISCIPLINARIO</t>
  </si>
  <si>
    <t xml:space="preserve">DIRECTOR GENERAL </t>
  </si>
  <si>
    <t>ELABORÓ:  ALEXIS CARRANZA MORENO - PROFESIONAL CONTRATISTA</t>
  </si>
  <si>
    <t xml:space="preserve">REVISÓ:     ALBERTO ANTONIO AMAYA PÁEZ - PROFESIONAL UNIVERSITARIO </t>
  </si>
  <si>
    <t>REVISÓ:       MARÍA JUDITH BORDA CHOCONTA - PROFESIONAL CONTABILIDAD(E)</t>
  </si>
  <si>
    <r>
      <t>•</t>
    </r>
    <r>
      <rPr>
        <sz val="28"/>
        <rFont val="Arial"/>
        <family val="2"/>
      </rPr>
      <t xml:space="preserve">Es equivalente al cincuenta por ciento (50%) del valor conjunto de la asignación básica mensual, la prima de antigüedad y los gastos de representación, siempre que no devengue una remuneración mensual por concepto de asignación básica y gastos de representación superior a novecientos noventa y cinco mil novecientos cuarenta y nueve pesos ($995.949) moneda corriente, (2007).
  </t>
    </r>
  </si>
  <si>
    <r>
      <t>•</t>
    </r>
    <r>
      <rPr>
        <sz val="28"/>
        <rFont val="Arial"/>
        <family val="2"/>
      </rPr>
      <t xml:space="preserve">Para los demás empleados, la bonificación por servicios prestados será equivalente al treinta y cinco por ciento (35%) del valor conjunto de los factores de salario señalados en el inciso anterior. </t>
    </r>
  </si>
  <si>
    <t>INSTITUTO DISTRITAL DE TURISMO
NIT 900.140.515-6
MES DE DICIEMBRE 2012</t>
  </si>
  <si>
    <t>INSTITUTO DISTRITAL DE TURISMO
NIT 900.140.515-6
MES DE OCTUBRE 2012</t>
  </si>
  <si>
    <t xml:space="preserve">NOMBRE :  </t>
  </si>
  <si>
    <t>NOMBRE :</t>
  </si>
  <si>
    <t xml:space="preserve">PROFESIONAL UNIVERSITARIO CODIGO XXX GRADO XX </t>
  </si>
  <si>
    <t>PROFESIONAL ESPECILIZADO</t>
  </si>
  <si>
    <t>PERIODO DE VACACIONES CORRESPONDIENTES DEL 03/03/2011 - 02/03/2012</t>
  </si>
  <si>
    <t>PERIODO DE VACACIONES CORRESPONDIENTES DEL 17/06/2010 AL 16/06/2011</t>
  </si>
  <si>
    <t>DISFRUTE ENTRE EL 02 DE ENERO DE 2013 Y EL 23 DE ENERO DE 2013</t>
  </si>
  <si>
    <t xml:space="preserve">DISFRUTE REANUDACION ENTRE EL 9 DE NOVIEMBRE DE 2012 AL 20 DE NOVIEMBRE DE 2012 </t>
  </si>
  <si>
    <t>REINTEGRO A LABORES 24 DE ENERO DE 2013</t>
  </si>
  <si>
    <t>REINTEGRO A LABORES 21 DE NOVIEMBRE DE 2012</t>
  </si>
  <si>
    <t xml:space="preserve">                                                        Nº DE DIAS  CALENDARIO                </t>
  </si>
  <si>
    <t xml:space="preserve">                                                                               Nº DE DIAS  CALENDARIO       </t>
  </si>
  <si>
    <t xml:space="preserve">                  SUELDO DE VACACIONES         </t>
  </si>
  <si>
    <t>REANUDACIÓN SUELDO DE VACACIONES</t>
  </si>
  <si>
    <t>Valor día 2011</t>
  </si>
  <si>
    <t>Valor día 2012</t>
  </si>
  <si>
    <t>Diferencia</t>
  </si>
  <si>
    <t xml:space="preserve">Asignación Básica </t>
  </si>
  <si>
    <t xml:space="preserve">Gastos de Representación </t>
  </si>
  <si>
    <t>Prima Técnica</t>
  </si>
  <si>
    <t>Prima de Antigüedad</t>
  </si>
  <si>
    <t>Auxilio de Alimentación</t>
  </si>
  <si>
    <t>1/12 Prima de Servicios Cancelada en Junio 2012</t>
  </si>
  <si>
    <t>1/12 Prima de Servicios Cancelada en Junio 2011 - 2012</t>
  </si>
  <si>
    <t>1/12 Bonificación Servicios Prestados Cancelada en marzo 2012</t>
  </si>
  <si>
    <t>1/12 Bonificación Servicios Prestados Cancelada en Junio 2011</t>
  </si>
  <si>
    <t>SUELDO DE VACACIONES - 22 DIAS</t>
  </si>
  <si>
    <t>PRIMA DE VACACIONES</t>
  </si>
  <si>
    <t>REANUADACIÓN PRIMA DE VACACIONES</t>
  </si>
  <si>
    <t>PRIMA DE VACACIONES - 15 DIAS</t>
  </si>
  <si>
    <t>PRIMA DE VACACIONES (DIAS)</t>
  </si>
  <si>
    <t>BONIFICACION POR RECREACION</t>
  </si>
  <si>
    <t>Bonificación Recreación (2 Días Sueldo básico)</t>
  </si>
  <si>
    <t>TOTAL PAGO DE VACACIONES</t>
  </si>
  <si>
    <t>TOTAL PAGO REANUDACIÓN DE VACACIONES</t>
  </si>
  <si>
    <t xml:space="preserve">ELABORO: ALEXIS CARRANZA MORENO - PROFESIONAL CONTRATISTA </t>
  </si>
  <si>
    <t xml:space="preserve">REVISÓ:      ALBERTO ANTONIO AMAYA PÁEZ - PROFESIONAL UNIVERSITARIO </t>
  </si>
  <si>
    <t>REVISÓ:     MARÍA JUDITH BORDA CHOCONTA - PROFESIONAL CONTABILIDAD(E)</t>
  </si>
  <si>
    <t xml:space="preserve">NOMBRE : </t>
  </si>
  <si>
    <t xml:space="preserve">CODIGO 105 GRADO 02 </t>
  </si>
  <si>
    <t>PROFESIONAL ESPECIALIZADO CODIGO 222 GRADO 04</t>
  </si>
  <si>
    <t xml:space="preserve">PERIODO DE VACACIONES CORRESPONDIENTES DEL 04/05/2011 al 03/05/2012 </t>
  </si>
  <si>
    <t>REANUDACION DE VACACIONES CORRESPONDIENTES DEL 03/03/2010 AL 02/03/2011</t>
  </si>
  <si>
    <t>DISFRUTE ENTRE EL 19 DE DICIEMBRE Y EL 13 DE ENERO DE 2013</t>
  </si>
  <si>
    <t xml:space="preserve">DISFRUTE REANUDACION ENTRE EL 26 DE OCTUBRE DE 2012 AL 7 DE NOVIEMBRE DE 2012 </t>
  </si>
  <si>
    <t>REINTEGRO A LABORES 14 DE ENERO DE 2013</t>
  </si>
  <si>
    <t>REINTEGRO A LABORES 8 DE NOVIEMBRE DE 2012</t>
  </si>
  <si>
    <t xml:space="preserve">                                                                                         Nº DE DIAS  CALENDARIO       </t>
  </si>
  <si>
    <r>
      <t xml:space="preserve">1/12 Bonificación Servicios Prestados Cancelada en mayo </t>
    </r>
    <r>
      <rPr>
        <sz val="10"/>
        <rFont val="Arial"/>
        <family val="2"/>
      </rPr>
      <t>2012</t>
    </r>
  </si>
  <si>
    <t>1/12 Bonificación Servicios Prestados Cancelada en Octubre 2011 - 2012</t>
  </si>
  <si>
    <t>SUELDO DE VACACIONES</t>
  </si>
  <si>
    <t>SUELDO DE VACACIONES - DIAS</t>
  </si>
  <si>
    <t>INSTITUTO DISTRITAL DE TURISMO
NIT 900.140.515-6
MES DE JULIO 2012</t>
  </si>
  <si>
    <t xml:space="preserve">CODIGO 222 GRADO 04 </t>
  </si>
  <si>
    <t xml:space="preserve">CODIGO GRADO </t>
  </si>
  <si>
    <t>PERIODO DE VACACIONES CORRESPONDIENTES DEL 26/10/2011 AL 25/10/2012</t>
  </si>
  <si>
    <t>REANUDACION DE VACACIONES CORRESPONDIENTES DEL 8/09/2010 AL 7/09/2011</t>
  </si>
  <si>
    <t>DISFRUTE ENTRE EL 20 DE DICIEMBRE DE 2012 AL 14 DE ENERO DE 2013</t>
  </si>
  <si>
    <t xml:space="preserve">DISFRUTE REANUDACION ENTRE EL 25 DE JUNIO DE 2012 AL 16 DE JULIO DE 2012 </t>
  </si>
  <si>
    <t>REINTEGRO A LABORES 15 DE ENERO DE 2013</t>
  </si>
  <si>
    <t>REINTEGRO A LABORES 17 DE JULIO DE 2012</t>
  </si>
  <si>
    <t xml:space="preserve">                                                          Nº DE DIAS  CALENDARIO                </t>
  </si>
  <si>
    <t>Valor día 052012</t>
  </si>
  <si>
    <t>Valor día 062012</t>
  </si>
  <si>
    <t>1/12 Bonificación Servicios Prestados Cancelada en Octubre 2012</t>
  </si>
  <si>
    <t xml:space="preserve">1/12 Bonificación Servicios Prestados Cancelada en Septiembre 2011 </t>
  </si>
  <si>
    <t xml:space="preserve">SUELDO DE VACACIONES </t>
  </si>
  <si>
    <t>REVISÓ:       DEISY AMPARO MURCIA RODRIGUEZ - PROFESIONAL CONTABILIDAD(E)</t>
  </si>
  <si>
    <t xml:space="preserve">CODIGO 425 GRADO 02 </t>
  </si>
  <si>
    <t>PERIODO DE VACACIONES CORRESPONDIENTES DEL 12/09/2011 AL 11/09/2012</t>
  </si>
  <si>
    <t>DISFRUTE ENTRE EL 08 DE ENERO DE 2013 AL 28 DE ENERO DE 2013</t>
  </si>
  <si>
    <t>REINTEGRO A LABORES 29 DE ENERO DE 2013</t>
  </si>
  <si>
    <t>1/12 Bonificación Servicios Prestados Cancelada en Septiembre 2012</t>
  </si>
  <si>
    <t>SUELDO DE VACACIONES - 21 DIAS</t>
  </si>
  <si>
    <t>CODIGO 425 GRADO 02</t>
  </si>
  <si>
    <t>PERIODO DE VACACIONES CORRESPONDIENTES DEL 08/10/2010 AL 07/10/2011</t>
  </si>
  <si>
    <t>DISFRUTE ENTRE EL 02 DE ENERO DE 2013 AL 23 DE ENERO DE 2013</t>
  </si>
  <si>
    <t xml:space="preserve">                                                    Nº DE DIAS  CALENDARIO                </t>
  </si>
  <si>
    <t>REVISÓ:      ALBERTO ANTONIO AMAYA PÁEZ - PROFESIONAL UNIVERSITARIO</t>
  </si>
  <si>
    <t xml:space="preserve">CODIGO  GRADO </t>
  </si>
  <si>
    <t>PERIODO DE VACACIONES CORRESPONDIENTES DEL 17/04/2011 AL 16/04/2012</t>
  </si>
  <si>
    <t>DISFRUTE ENTRE EL 12 DE JUNIO DE 2012 AL 04 DE JULIO DE 2012</t>
  </si>
  <si>
    <t>REINTEGRO A LABORES 05 DE JULIO DE 2012</t>
  </si>
  <si>
    <t xml:space="preserve">                                                                                      Nº DE DIAS  CALENDARIO                </t>
  </si>
  <si>
    <t>1/12 Prima de Servicios Cancelada en Junio 2011</t>
  </si>
  <si>
    <t>1/12 Bonificación Servicios Prestados Cancelada en Abril 2012</t>
  </si>
  <si>
    <t>SUELDO DE VACACIONES - 23 DIAS</t>
  </si>
  <si>
    <t>REVISÓ:     DORIS YOMAIRA DUARTE AREVALO - PROFESIONAL ESPECIALIZADA</t>
  </si>
  <si>
    <t xml:space="preserve"> CODIGO GRADO </t>
  </si>
  <si>
    <t>NOMBRE :  CLAUDIA BEATRIZ MURCIA LINARES</t>
  </si>
  <si>
    <t>PERIODO DE VACACIONES CORRESPONDIENTES DEL  25/11/2012 - 24/11/2012</t>
  </si>
  <si>
    <t>DISFRUTE ENTRE EL 02 DE ENERO Y EL 23 DE ENERO DE 2013</t>
  </si>
  <si>
    <r>
      <t xml:space="preserve">1/12 Bonificación Servicios Prestados Cancelada en noviembre </t>
    </r>
    <r>
      <rPr>
        <sz val="10"/>
        <rFont val="Arial"/>
        <family val="2"/>
      </rPr>
      <t>2012</t>
    </r>
  </si>
  <si>
    <t>SUELDO DE VACACIONES - 25 DIAS</t>
  </si>
  <si>
    <t>INSTITUTO DISTRITAL DE TURISMO</t>
  </si>
  <si>
    <t xml:space="preserve">AHORROS EN CUENTAS A.F.C. </t>
  </si>
  <si>
    <t>N. DE IDENTIFICACION</t>
  </si>
  <si>
    <t>ASIGNACION MENSUAL</t>
  </si>
  <si>
    <t>VR AHORRO</t>
  </si>
  <si>
    <t>CUENTA Nº</t>
  </si>
  <si>
    <t>ENTIDAD</t>
  </si>
  <si>
    <t>BANCO DAVIVIENDA</t>
  </si>
  <si>
    <t>TOTAL AHORROS</t>
  </si>
  <si>
    <t>DIRECTOR GENERAL</t>
  </si>
  <si>
    <t>REVISÓ:      DORIS YOMAIRA DUARTE AREVALO - PROFESIONAL ESPECIALIZADO</t>
  </si>
  <si>
    <t>DUARTE AREVALO DORIS YOMAIRA</t>
  </si>
  <si>
    <t xml:space="preserve">BANCO CAJA SOCIAL </t>
  </si>
  <si>
    <t>PENSIONES VOLUNTARIAS</t>
  </si>
  <si>
    <t>CUENTA BANCOLOMBIA Nº</t>
  </si>
  <si>
    <t>MÉNDEZ BECERRA ANDRÉS ALFONSO</t>
  </si>
  <si>
    <t>Pensiones Proteccion</t>
  </si>
  <si>
    <t>|</t>
  </si>
  <si>
    <t>CEDULA</t>
  </si>
  <si>
    <t>TIPO</t>
  </si>
  <si>
    <t xml:space="preserve"> APELLIDOS TITULAR</t>
  </si>
  <si>
    <t>DENOMINACIÓN DEL EMPLEO</t>
  </si>
  <si>
    <t>CÓD.</t>
  </si>
  <si>
    <t>GR.</t>
  </si>
  <si>
    <t>Procedimiento Retencion</t>
  </si>
  <si>
    <t xml:space="preserve">Total Ingresos </t>
  </si>
  <si>
    <t>Aporte AFC / AFP</t>
  </si>
  <si>
    <t>Total Ingresos descontando AFC</t>
  </si>
  <si>
    <t>Descuentos por F.S. del mismo periodo.</t>
  </si>
  <si>
    <t xml:space="preserve">Descuentos por aportes voluntarios empleado en el mismo periodo. </t>
  </si>
  <si>
    <t>Descuentos por AFP del mismo periodo.</t>
  </si>
  <si>
    <t>TOTAL DESCUENTOS SOBRE APORTES</t>
  </si>
  <si>
    <t>MAXIMO PERMITIDO EL 30% DEL DEVENGADO</t>
  </si>
  <si>
    <t>Subtotal Base Gravable</t>
  </si>
  <si>
    <t>Menos Rentas Exentas 25% del Subtotal Base Gravable.</t>
  </si>
  <si>
    <t>TOTAL INGRESOS GRAVADOS</t>
  </si>
  <si>
    <t>Subtotal</t>
  </si>
  <si>
    <t>Diás Laborados</t>
  </si>
  <si>
    <t>Ingreso Mensual Promedio (Dividido en los dias)</t>
  </si>
  <si>
    <t xml:space="preserve">Aportes Salud Promedio Periodo </t>
  </si>
  <si>
    <t xml:space="preserve">SALUD Y EDUCACIÓN </t>
  </si>
  <si>
    <t>VIVIENDA</t>
  </si>
  <si>
    <t>GRAN TOTAL BASE GRAVABLE</t>
  </si>
  <si>
    <t>UPAC PERNO</t>
  </si>
  <si>
    <t>EDUCACIÓN 2011</t>
  </si>
  <si>
    <t>TIEMPO EN MESES</t>
  </si>
  <si>
    <t>EDUCACIÓN 2012</t>
  </si>
  <si>
    <t>PLAN COMPL. 2010</t>
  </si>
  <si>
    <t>PLAN COMPL. 2011</t>
  </si>
  <si>
    <t>DEDUCCION MÁXIMA LEY</t>
  </si>
  <si>
    <t>INTERESES 2010</t>
  </si>
  <si>
    <t>INTERESES  2011</t>
  </si>
  <si>
    <t>CORRECCIÓN MONETARIA 2010</t>
  </si>
  <si>
    <t>CORRECCIÓN MONETARIA 2011</t>
  </si>
  <si>
    <t>ACUMULADO PARA VIVIENDA</t>
  </si>
  <si>
    <t>MONTO MAXIMO A DEDUCIR SEGÚN LA LEY 100 uvt</t>
  </si>
  <si>
    <t>ACUMULADOS PARA EDUCACION Y SALUD</t>
  </si>
  <si>
    <t>MAX. SEGÚN LA NORMA, 30%</t>
  </si>
  <si>
    <t>C</t>
  </si>
  <si>
    <t>Profesional Especializado</t>
  </si>
  <si>
    <t>2</t>
  </si>
  <si>
    <t>12 meses</t>
  </si>
  <si>
    <t xml:space="preserve">10 meses </t>
  </si>
  <si>
    <t xml:space="preserve">Profesional Universitario </t>
  </si>
  <si>
    <t>Técnico Administrativo</t>
  </si>
  <si>
    <t>1</t>
  </si>
  <si>
    <t>Subdirector Técnico</t>
  </si>
  <si>
    <t>Conductor</t>
  </si>
  <si>
    <t xml:space="preserve">12 meses </t>
  </si>
  <si>
    <t>Secretario Ejecutivo</t>
  </si>
  <si>
    <t>Director General</t>
  </si>
  <si>
    <t xml:space="preserve">Auxiliar Administrativo </t>
  </si>
  <si>
    <t>RANGOS INGRESO LABORAL GRAVADO (ILG)</t>
  </si>
  <si>
    <t>RANGOS UVT</t>
  </si>
  <si>
    <t>DESDE</t>
  </si>
  <si>
    <t>HASTA</t>
  </si>
  <si>
    <t>TARIFA MARGINAL</t>
  </si>
  <si>
    <t>IMPUESTO</t>
  </si>
  <si>
    <t>rango 1</t>
  </si>
  <si>
    <t>&gt;0</t>
  </si>
  <si>
    <t>rango 2</t>
  </si>
  <si>
    <t>&gt;95</t>
  </si>
  <si>
    <t>INGRESO LABORAL EN UVT MENOS 95 UVT POR 19%</t>
  </si>
  <si>
    <t>rango 3</t>
  </si>
  <si>
    <t>&gt;150</t>
  </si>
  <si>
    <t>INGRESO LABORAL EN UVT MENOS 150 UVT POR 28% MAS 10 UVT</t>
  </si>
  <si>
    <t>rango 4</t>
  </si>
  <si>
    <t>&gt;360</t>
  </si>
  <si>
    <r>
      <t xml:space="preserve">INGRESO LABORAL EN UVT MENOS 360 UVT POR </t>
    </r>
    <r>
      <rPr>
        <b/>
        <sz val="8"/>
        <color indexed="10"/>
        <rFont val="Arial"/>
        <family val="2"/>
      </rPr>
      <t xml:space="preserve">33% </t>
    </r>
    <r>
      <rPr>
        <sz val="8"/>
        <rFont val="Arial"/>
        <family val="2"/>
      </rPr>
      <t>MAS 69 UVT</t>
    </r>
  </si>
  <si>
    <t>ILG</t>
  </si>
  <si>
    <t>RANGOS</t>
  </si>
  <si>
    <t>UVT</t>
  </si>
  <si>
    <t>4,600 uvt $26,841</t>
  </si>
  <si>
    <t>BASE DE RETENCIÓN</t>
  </si>
  <si>
    <t>VR. UVTS</t>
  </si>
  <si>
    <t>VR. EN PESOS</t>
  </si>
  <si>
    <t>PORCENTAJE</t>
  </si>
  <si>
    <t>PROCEDIMIENTO</t>
  </si>
  <si>
    <t xml:space="preserve"> </t>
  </si>
  <si>
    <t>NIT 900.140.515-6</t>
  </si>
  <si>
    <t>NARANJO POLANIA LUCIA MAGDALENA</t>
  </si>
  <si>
    <t xml:space="preserve">REVISAR PROXIMO MES </t>
  </si>
  <si>
    <t>PROCEDIMIENTO No. 1</t>
  </si>
  <si>
    <t>PROCEDIMIENTO No. 2</t>
  </si>
  <si>
    <t>DEVENGADOS DEL MES</t>
  </si>
  <si>
    <t>Cesantias e Intereses cesantias</t>
  </si>
  <si>
    <t>TOTAL DEVENGADO</t>
  </si>
  <si>
    <t>Aporte Pensión</t>
  </si>
  <si>
    <t>Fondo de Solidaridad</t>
  </si>
  <si>
    <t xml:space="preserve">Aporte voluntario </t>
  </si>
  <si>
    <t>ASIGNACION  NETA</t>
  </si>
  <si>
    <t>30% Y 25%</t>
  </si>
  <si>
    <t>VALOR PROMEDIO (1 mes)</t>
  </si>
  <si>
    <r>
      <t>UPAC ,</t>
    </r>
    <r>
      <rPr>
        <sz val="9"/>
        <color indexed="10"/>
        <rFont val="Verdana"/>
        <family val="2"/>
      </rPr>
      <t>SALUD Y EDUCACION</t>
    </r>
  </si>
  <si>
    <t>año 2009</t>
  </si>
  <si>
    <t>UPAC ,SALUD Y EDUCACION</t>
  </si>
  <si>
    <t>APORTES OBLIGATORIOS A SALUD DEL TRABAJADOR</t>
  </si>
  <si>
    <t>BASE DE RETENCION</t>
  </si>
  <si>
    <t>PORCENTAJE RETE FUENTE</t>
  </si>
  <si>
    <t>VALOR DE LA UVT</t>
  </si>
  <si>
    <t>(163-150)*28%+10</t>
  </si>
  <si>
    <t>(102-95)*19%</t>
  </si>
  <si>
    <t>RETENCION  CON PROC. 1</t>
  </si>
  <si>
    <t>CON PROC. 2</t>
  </si>
  <si>
    <t>AGUDELO HERNANDEZ CLAUDIA DEL TRANSITO</t>
  </si>
  <si>
    <t>(104-95)*19%</t>
  </si>
  <si>
    <t>VALOR UVT/09</t>
  </si>
  <si>
    <t>VALOR  DE LA UVT</t>
  </si>
  <si>
    <t>(154-150)*28%+10</t>
  </si>
  <si>
    <t>SORAIDA LUCIA DIAZ AMEZQUITA</t>
  </si>
  <si>
    <t>vr máximo</t>
  </si>
  <si>
    <t>(87-95)*19%</t>
  </si>
  <si>
    <t>(150-95)*19</t>
  </si>
  <si>
    <t>VALOR  BASE RETEN. EN UVT  21,68</t>
  </si>
  <si>
    <t>MARTINEZ GUERRERO ISMAEL</t>
  </si>
  <si>
    <t>15% max.</t>
  </si>
  <si>
    <t>VALOR UVT/10</t>
  </si>
  <si>
    <t>(132-95)*19%</t>
  </si>
  <si>
    <t>(119-95)*19%</t>
  </si>
  <si>
    <t>VALOR  BASE RETEN. EN UVT +23,36</t>
  </si>
  <si>
    <t>VALOR  BASE RETEN. EN UVT 15,32</t>
  </si>
  <si>
    <t>(109-95)*19%</t>
  </si>
  <si>
    <t>(80,00-95)*19%</t>
  </si>
  <si>
    <t>VALOR  BASE RETEN. EN UVT 2,47</t>
  </si>
  <si>
    <t>VALOR  BASE RETEN. EN UVT -,343</t>
  </si>
  <si>
    <t>Aporte voluntario  AFC</t>
  </si>
  <si>
    <t>AFC MAX 30% DEL INGR. LABORAL</t>
  </si>
  <si>
    <t>(101-95)*19%</t>
  </si>
  <si>
    <t>(113-95)*19%</t>
  </si>
  <si>
    <t>VALOR  BASE RETEN. EN UVT 101</t>
  </si>
  <si>
    <t>intereses prestamo hipotecario, hasta 100 UVT $2,376,300 en 2009</t>
  </si>
  <si>
    <t>(110-95)*19%</t>
  </si>
  <si>
    <t>(209-150)*28%+10</t>
  </si>
  <si>
    <t>VALOR  BASE RETEN. EN UVT 10,28</t>
  </si>
  <si>
    <t>VALOR  BASE RETEN. EN UVT 18.68</t>
  </si>
  <si>
    <t>CON PROC. 1</t>
  </si>
  <si>
    <t>(98-95)*19%</t>
  </si>
  <si>
    <t>(137-95)*19%</t>
  </si>
  <si>
    <t>(164-150)*28%+10</t>
  </si>
  <si>
    <t>(99-95)*19%</t>
  </si>
  <si>
    <t>Fecha Actualización: 31/08/2026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</si>
</sst>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4">
    <numFmt numFmtId="164" formatCode="_(&quot;$&quot;* #,##0.00_);_(&quot;$&quot;* \(#,##0.00\);_(&quot;$&quot;* &quot;-&quot;??_);_(@_)"/>
    <numFmt numFmtId="165" formatCode="_(* #,##0.00_);_(* \(#,##0.00\);_(* &quot;-&quot;??_);_(@_)"/>
    <numFmt numFmtId="166" formatCode="_-&quot;$&quot;* #,##0_-;\-&quot;$&quot;* #,##0_-;_-&quot;$&quot;* &quot;-&quot;_-;_-@_-"/>
    <numFmt numFmtId="167" formatCode="_(&quot;$&quot;\ * #,##0.00_);_(&quot;$&quot;\ * \(#,##0.00\);_(&quot;$&quot;\ * &quot;-&quot;??_);_(@_)"/>
    <numFmt numFmtId="168" formatCode="_-* #,##0.00\ _€_-;\-* #,##0.00\ _€_-;_-* &quot;-&quot;??\ _€_-;_-@_-"/>
    <numFmt numFmtId="169" formatCode="&quot;₡&quot;#,##0_);[Red]\(&quot;₡&quot;#,##0\)"/>
    <numFmt numFmtId="170" formatCode="&quot;$&quot;\ #,##0;&quot;$&quot;\ \-#,##0"/>
    <numFmt numFmtId="171" formatCode="_ &quot;$&quot;\ * #,##0.00_ ;_ &quot;$&quot;\ * \-#,##0.00_ ;_ &quot;$&quot;\ * &quot;-&quot;??_ ;_ @_ "/>
    <numFmt numFmtId="172" formatCode="#,##0.00&quot;       &quot;;\-#,##0.00&quot;       &quot;;&quot; -&quot;#&quot;       &quot;;@\ "/>
    <numFmt numFmtId="173" formatCode="#,##0.000"/>
    <numFmt numFmtId="174" formatCode="#,###"/>
    <numFmt numFmtId="175" formatCode="#,###.00"/>
    <numFmt numFmtId="176" formatCode="#,##0&quot;       &quot;;\-#,##0&quot;       &quot;;&quot; -&quot;#&quot;       &quot;;@\ "/>
    <numFmt numFmtId="177" formatCode="_ [$€]\ * #,##0.00_ ;_ [$€]\ * \-#,##0.00_ ;_ [$€]\ * &quot;-&quot;??_ ;_ @_ "/>
    <numFmt numFmtId="178" formatCode="#,##0;[Red]\(#,##0\)"/>
    <numFmt numFmtId="179" formatCode="_-* #,##0.00\ _P_t_s_-;\-* #,##0.00\ _P_t_s_-;_-* &quot;-&quot;??\ _P_t_s_-;_-@_-"/>
    <numFmt numFmtId="180" formatCode="_ * #,##0_ ;_ * \-#,##0_ ;_ * &quot;-&quot;??_ ;_ @_ "/>
    <numFmt numFmtId="181" formatCode="_(* #,##0_);_(* \(#,##0\);_(* &quot;-&quot;??_);_(@_)"/>
    <numFmt numFmtId="182" formatCode="_(&quot;$&quot;* #,##0_);_(&quot;$&quot;* \(#,##0\);_(&quot;$&quot;* &quot;-&quot;??_);_(@_)"/>
    <numFmt numFmtId="183" formatCode="0.0000000%"/>
    <numFmt numFmtId="184" formatCode="00000000000"/>
    <numFmt numFmtId="185" formatCode="_-* #,##0.00\ _p_t_a_-;\-* #,##0.00\ _p_t_a_-;_-* &quot;-&quot;??\ _p_t_a_-;_-@_-"/>
    <numFmt numFmtId="186" formatCode="_ [$€]* #,##0.00_ ;_ [$€]* \-#,##0.00_ ;_ [$€]* \-??_ ;_ @_ "/>
    <numFmt numFmtId="187" formatCode="#,##0\ &quot;Pts&quot;;\-#,##0\ &quot;Pts&quot;"/>
  </numFmts>
  <fonts count="66" x14ac:knownFonts="1">
    <font>
      <sz val="10"/>
      <name val="Arial"/>
      <family val="2"/>
    </font>
    <font>
      <sz val="10"/>
      <name val="Arial"/>
    </font>
    <font>
      <sz val="10"/>
      <name val="Verdana"/>
      <family val="2"/>
    </font>
    <font>
      <b/>
      <sz val="8"/>
      <color indexed="8"/>
      <name val="Times New Roman"/>
      <family val="1"/>
    </font>
    <font>
      <sz val="8"/>
      <color indexed="8"/>
      <name val="Times New Roman"/>
      <family val="1"/>
    </font>
    <font>
      <b/>
      <sz val="10"/>
      <name val="Verdana"/>
      <family val="2"/>
    </font>
    <font>
      <sz val="8"/>
      <name val="Arial"/>
      <family val="2"/>
    </font>
    <font>
      <u/>
      <sz val="10"/>
      <color indexed="12"/>
      <name val="Arial"/>
      <family val="2"/>
    </font>
    <font>
      <b/>
      <sz val="13"/>
      <name val="Verdana"/>
      <family val="2"/>
    </font>
    <font>
      <sz val="13"/>
      <name val="Verdana"/>
      <family val="2"/>
    </font>
    <font>
      <b/>
      <sz val="9"/>
      <name val="Verdana"/>
      <family val="2"/>
    </font>
    <font>
      <sz val="6"/>
      <name val="Verdana"/>
      <family val="2"/>
    </font>
    <font>
      <b/>
      <sz val="8"/>
      <name val="Verdana"/>
      <family val="2"/>
    </font>
    <font>
      <b/>
      <sz val="15"/>
      <name val="Verdana"/>
      <family val="2"/>
    </font>
    <font>
      <sz val="10"/>
      <name val="Arial"/>
      <family val="2"/>
    </font>
    <font>
      <b/>
      <sz val="9"/>
      <color indexed="12"/>
      <name val="Verdana"/>
      <family val="2"/>
    </font>
    <font>
      <sz val="10"/>
      <color indexed="12"/>
      <name val="Verdana"/>
      <family val="2"/>
    </font>
    <font>
      <sz val="9"/>
      <color indexed="12"/>
      <name val="Verdana"/>
      <family val="2"/>
    </font>
    <font>
      <sz val="6"/>
      <color indexed="12"/>
      <name val="Verdana"/>
      <family val="2"/>
    </font>
    <font>
      <b/>
      <sz val="10"/>
      <color indexed="12"/>
      <name val="Verdana"/>
      <family val="2"/>
    </font>
    <font>
      <b/>
      <sz val="12"/>
      <color indexed="12"/>
      <name val="Verdana"/>
      <family val="2"/>
    </font>
    <font>
      <sz val="16"/>
      <name val="Arial Black"/>
      <family val="2"/>
    </font>
    <font>
      <b/>
      <sz val="12"/>
      <name val="Arial"/>
      <family val="2"/>
    </font>
    <font>
      <b/>
      <sz val="11"/>
      <name val="Arial"/>
      <family val="2"/>
    </font>
    <font>
      <sz val="12"/>
      <name val="Arial Black"/>
      <family val="2"/>
    </font>
    <font>
      <sz val="14"/>
      <name val="Arial"/>
      <family val="2"/>
    </font>
    <font>
      <sz val="8"/>
      <color indexed="81"/>
      <name val="Tahoma"/>
      <family val="2"/>
    </font>
    <font>
      <b/>
      <sz val="8"/>
      <color indexed="81"/>
      <name val="Tahoma"/>
      <family val="2"/>
    </font>
    <font>
      <b/>
      <sz val="10"/>
      <name val="Arial"/>
      <family val="2"/>
    </font>
    <font>
      <sz val="12"/>
      <name val="Arial"/>
      <family val="2"/>
    </font>
    <font>
      <sz val="9"/>
      <color indexed="10"/>
      <name val="Verdana"/>
      <family val="2"/>
    </font>
    <font>
      <b/>
      <sz val="8"/>
      <color indexed="12"/>
      <name val="Verdana"/>
      <family val="2"/>
    </font>
    <font>
      <sz val="10"/>
      <color indexed="10"/>
      <name val="Verdana"/>
      <family val="2"/>
    </font>
    <font>
      <b/>
      <sz val="14"/>
      <color indexed="12"/>
      <name val="Verdana"/>
      <family val="2"/>
    </font>
    <font>
      <sz val="11"/>
      <color indexed="8"/>
      <name val="Calibri"/>
      <family val="2"/>
    </font>
    <font>
      <sz val="15.6"/>
      <name val="Arial"/>
      <family val="2"/>
    </font>
    <font>
      <b/>
      <i/>
      <sz val="8"/>
      <name val="Arial"/>
      <family val="2"/>
    </font>
    <font>
      <sz val="6"/>
      <name val="Arial"/>
      <family val="2"/>
    </font>
    <font>
      <sz val="28"/>
      <name val="Arial"/>
      <family val="2"/>
    </font>
    <font>
      <b/>
      <sz val="16"/>
      <name val="Arial"/>
      <family val="2"/>
    </font>
    <font>
      <b/>
      <sz val="10"/>
      <color indexed="52"/>
      <name val="Arial"/>
      <family val="2"/>
    </font>
    <font>
      <b/>
      <sz val="8"/>
      <name val="Arial"/>
      <family val="2"/>
    </font>
    <font>
      <u/>
      <sz val="10"/>
      <name val="Arial"/>
      <family val="2"/>
    </font>
    <font>
      <b/>
      <u/>
      <sz val="12"/>
      <name val="Arial"/>
      <family val="2"/>
    </font>
    <font>
      <u/>
      <sz val="12"/>
      <name val="Arial"/>
      <family val="2"/>
    </font>
    <font>
      <sz val="8"/>
      <color indexed="9"/>
      <name val="Arial"/>
      <family val="2"/>
    </font>
    <font>
      <b/>
      <sz val="8"/>
      <color indexed="9"/>
      <name val="Arial"/>
      <family val="2"/>
    </font>
    <font>
      <b/>
      <sz val="8"/>
      <color indexed="10"/>
      <name val="Arial"/>
      <family val="2"/>
    </font>
    <font>
      <b/>
      <u/>
      <sz val="15"/>
      <name val="Arial"/>
      <family val="2"/>
    </font>
    <font>
      <b/>
      <u/>
      <sz val="11"/>
      <name val="Arial"/>
      <family val="2"/>
    </font>
    <font>
      <b/>
      <sz val="12"/>
      <name val="Times New Roman"/>
      <family val="1"/>
    </font>
    <font>
      <sz val="12"/>
      <name val="Times New Roman"/>
      <family val="1"/>
    </font>
    <font>
      <u/>
      <sz val="10"/>
      <color indexed="12"/>
      <name val="Times New Roman"/>
      <family val="1"/>
    </font>
    <font>
      <sz val="10"/>
      <name val="Times New Roman"/>
      <family val="1"/>
    </font>
    <font>
      <sz val="11"/>
      <color theme="1"/>
      <name val="Calibri"/>
      <family val="2"/>
      <scheme val="minor"/>
    </font>
    <font>
      <u/>
      <sz val="11"/>
      <color theme="10"/>
      <name val="Calibri"/>
      <family val="2"/>
      <scheme val="minor"/>
    </font>
    <font>
      <sz val="10"/>
      <color theme="1"/>
      <name val="Arial"/>
      <family val="2"/>
    </font>
    <font>
      <sz val="8"/>
      <color theme="0"/>
      <name val="Arial"/>
      <family val="2"/>
    </font>
    <font>
      <b/>
      <sz val="8"/>
      <color theme="1"/>
      <name val="Arial"/>
      <family val="2"/>
    </font>
    <font>
      <sz val="8"/>
      <color theme="1"/>
      <name val="Arial"/>
      <family val="2"/>
    </font>
    <font>
      <u/>
      <sz val="10"/>
      <color theme="1"/>
      <name val="Arial"/>
      <family val="2"/>
    </font>
    <font>
      <b/>
      <sz val="12"/>
      <color theme="1"/>
      <name val="Times New Roman"/>
      <family val="1"/>
    </font>
    <font>
      <b/>
      <sz val="18"/>
      <color theme="1"/>
      <name val="Times New Roman"/>
      <family val="1"/>
    </font>
    <font>
      <sz val="12"/>
      <color theme="1"/>
      <name val="Times New Roman"/>
      <family val="1"/>
    </font>
    <font>
      <sz val="10"/>
      <color theme="1"/>
      <name val="Times New Roman"/>
      <family val="1"/>
    </font>
    <font>
      <sz val="10"/>
      <color rgb="FF000000"/>
      <name val="Times New Roman"/>
      <family val="1"/>
    </font>
  </fonts>
  <fills count="21">
    <fill>
      <patternFill patternType="none"/>
    </fill>
    <fill>
      <patternFill patternType="gray125"/>
    </fill>
    <fill>
      <patternFill patternType="solid">
        <fgColor indexed="13"/>
        <bgColor indexed="64"/>
      </patternFill>
    </fill>
    <fill>
      <patternFill patternType="solid">
        <fgColor indexed="47"/>
        <bgColor indexed="64"/>
      </patternFill>
    </fill>
    <fill>
      <patternFill patternType="solid">
        <fgColor indexed="8"/>
        <bgColor indexed="64"/>
      </patternFill>
    </fill>
    <fill>
      <patternFill patternType="solid">
        <fgColor indexed="50"/>
        <bgColor indexed="64"/>
      </patternFill>
    </fill>
    <fill>
      <patternFill patternType="solid">
        <fgColor indexed="22"/>
        <bgColor indexed="64"/>
      </patternFill>
    </fill>
    <fill>
      <patternFill patternType="solid">
        <fgColor indexed="10"/>
        <bgColor indexed="64"/>
      </patternFill>
    </fill>
    <fill>
      <patternFill patternType="solid">
        <fgColor indexed="41"/>
        <bgColor indexed="64"/>
      </patternFill>
    </fill>
    <fill>
      <patternFill patternType="solid">
        <fgColor rgb="FFFFFF00"/>
        <bgColor indexed="64"/>
      </patternFill>
    </fill>
    <fill>
      <patternFill patternType="solid">
        <fgColor theme="1"/>
        <bgColor indexed="64"/>
      </patternFill>
    </fill>
    <fill>
      <patternFill patternType="solid">
        <fgColor theme="5" tint="0.79998168889431442"/>
        <bgColor indexed="64"/>
      </patternFill>
    </fill>
    <fill>
      <patternFill patternType="solid">
        <fgColor rgb="FFCCFFFF"/>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rgb="FFFF0000"/>
        <bgColor indexed="64"/>
      </patternFill>
    </fill>
    <fill>
      <patternFill patternType="solid">
        <fgColor theme="0"/>
        <bgColor indexed="64"/>
      </patternFill>
    </fill>
    <fill>
      <patternFill patternType="solid">
        <fgColor theme="9" tint="0.79998168889431442"/>
        <bgColor indexed="64"/>
      </patternFill>
    </fill>
    <fill>
      <patternFill patternType="solid">
        <fgColor theme="8" tint="-0.249977111117893"/>
        <bgColor indexed="64"/>
      </patternFill>
    </fill>
    <fill>
      <patternFill patternType="solid">
        <fgColor theme="4" tint="0.79998168889431442"/>
        <bgColor indexed="64"/>
      </patternFill>
    </fill>
    <fill>
      <patternFill patternType="solid">
        <fgColor theme="0"/>
        <bgColor theme="0"/>
      </patternFill>
    </fill>
  </fills>
  <borders count="84">
    <border>
      <left/>
      <right/>
      <top/>
      <bottom/>
      <diagonal/>
    </border>
    <border>
      <left/>
      <right/>
      <top/>
      <bottom style="medium">
        <color indexed="8"/>
      </bottom>
      <diagonal/>
    </border>
    <border>
      <left/>
      <right style="medium">
        <color indexed="8"/>
      </right>
      <top/>
      <bottom/>
      <diagonal/>
    </border>
    <border>
      <left style="thin">
        <color indexed="8"/>
      </left>
      <right style="medium">
        <color indexed="8"/>
      </right>
      <top style="thin">
        <color indexed="8"/>
      </top>
      <bottom/>
      <diagonal/>
    </border>
    <border>
      <left style="medium">
        <color indexed="8"/>
      </left>
      <right style="medium">
        <color indexed="8"/>
      </right>
      <top style="medium">
        <color indexed="8"/>
      </top>
      <bottom style="medium">
        <color indexed="8"/>
      </bottom>
      <diagonal/>
    </border>
    <border>
      <left style="medium">
        <color indexed="8"/>
      </left>
      <right style="medium">
        <color indexed="8"/>
      </right>
      <top/>
      <bottom style="medium">
        <color indexed="8"/>
      </bottom>
      <diagonal/>
    </border>
    <border>
      <left style="hair">
        <color indexed="8"/>
      </left>
      <right style="medium">
        <color indexed="8"/>
      </right>
      <top/>
      <bottom style="medium">
        <color indexed="8"/>
      </bottom>
      <diagonal/>
    </border>
    <border>
      <left style="medium">
        <color indexed="8"/>
      </left>
      <right style="medium">
        <color indexed="8"/>
      </right>
      <top style="thin">
        <color indexed="8"/>
      </top>
      <bottom style="thin">
        <color indexed="8"/>
      </bottom>
      <diagonal/>
    </border>
    <border>
      <left style="medium">
        <color indexed="8"/>
      </left>
      <right/>
      <top/>
      <bottom style="medium">
        <color indexed="8"/>
      </bottom>
      <diagonal/>
    </border>
    <border>
      <left/>
      <right style="medium">
        <color indexed="8"/>
      </right>
      <top/>
      <bottom style="medium">
        <color indexed="8"/>
      </bottom>
      <diagonal/>
    </border>
    <border>
      <left/>
      <right style="medium">
        <color indexed="8"/>
      </right>
      <top style="thin">
        <color indexed="8"/>
      </top>
      <bottom style="thin">
        <color indexed="8"/>
      </bottom>
      <diagonal/>
    </border>
    <border>
      <left style="medium">
        <color indexed="8"/>
      </left>
      <right/>
      <top style="medium">
        <color indexed="8"/>
      </top>
      <bottom/>
      <diagonal/>
    </border>
    <border>
      <left/>
      <right/>
      <top style="medium">
        <color indexed="8"/>
      </top>
      <bottom/>
      <diagonal/>
    </border>
    <border>
      <left/>
      <right style="medium">
        <color indexed="8"/>
      </right>
      <top style="medium">
        <color indexed="8"/>
      </top>
      <bottom/>
      <diagonal/>
    </border>
    <border>
      <left style="medium">
        <color indexed="8"/>
      </left>
      <right/>
      <top/>
      <bottom/>
      <diagonal/>
    </border>
    <border>
      <left style="medium">
        <color indexed="8"/>
      </left>
      <right/>
      <top style="thin">
        <color indexed="8"/>
      </top>
      <bottom style="medium">
        <color indexed="8"/>
      </bottom>
      <diagonal/>
    </border>
    <border>
      <left/>
      <right/>
      <top style="thin">
        <color indexed="8"/>
      </top>
      <bottom style="medium">
        <color indexed="8"/>
      </bottom>
      <diagonal/>
    </border>
    <border>
      <left/>
      <right style="medium">
        <color indexed="8"/>
      </right>
      <top style="thin">
        <color indexed="8"/>
      </top>
      <bottom style="medium">
        <color indexed="8"/>
      </bottom>
      <diagonal/>
    </border>
    <border>
      <left/>
      <right style="medium">
        <color indexed="8"/>
      </right>
      <top/>
      <bottom style="hair">
        <color indexed="8"/>
      </bottom>
      <diagonal/>
    </border>
    <border>
      <left style="hair">
        <color indexed="8"/>
      </left>
      <right/>
      <top style="hair">
        <color indexed="8"/>
      </top>
      <bottom style="hair">
        <color indexed="8"/>
      </bottom>
      <diagonal/>
    </border>
    <border>
      <left/>
      <right/>
      <top/>
      <bottom style="hair">
        <color indexed="8"/>
      </bottom>
      <diagonal/>
    </border>
    <border>
      <left style="medium">
        <color indexed="8"/>
      </left>
      <right/>
      <top style="thin">
        <color indexed="8"/>
      </top>
      <bottom/>
      <diagonal/>
    </border>
    <border>
      <left/>
      <right/>
      <top style="thin">
        <color indexed="8"/>
      </top>
      <bottom/>
      <diagonal/>
    </border>
    <border>
      <left/>
      <right style="medium">
        <color indexed="8"/>
      </right>
      <top style="thin">
        <color indexed="8"/>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style="hair">
        <color indexed="8"/>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ck">
        <color indexed="64"/>
      </left>
      <right style="thick">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medium">
        <color indexed="8"/>
      </bottom>
      <diagonal/>
    </border>
    <border>
      <left/>
      <right/>
      <top style="thin">
        <color indexed="64"/>
      </top>
      <bottom style="medium">
        <color indexed="8"/>
      </bottom>
      <diagonal/>
    </border>
    <border>
      <left/>
      <right style="thin">
        <color indexed="64"/>
      </right>
      <top style="thin">
        <color indexed="64"/>
      </top>
      <bottom style="medium">
        <color indexed="8"/>
      </bottom>
      <diagonal/>
    </border>
    <border>
      <left style="thin">
        <color indexed="64"/>
      </left>
      <right/>
      <top/>
      <bottom/>
      <diagonal/>
    </border>
    <border>
      <left/>
      <right style="thin">
        <color indexed="64"/>
      </right>
      <top/>
      <bottom/>
      <diagonal/>
    </border>
    <border>
      <left/>
      <right style="thin">
        <color indexed="64"/>
      </right>
      <top/>
      <bottom style="hair">
        <color indexed="8"/>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4"/>
      </left>
      <right/>
      <top style="medium">
        <color indexed="8"/>
      </top>
      <bottom/>
      <diagonal/>
    </border>
    <border>
      <left style="medium">
        <color indexed="64"/>
      </left>
      <right/>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bottom style="thin">
        <color indexed="64"/>
      </bottom>
      <diagonal/>
    </border>
    <border>
      <left/>
      <right style="medium">
        <color indexed="64"/>
      </right>
      <top style="thin">
        <color indexed="8"/>
      </top>
      <bottom style="medium">
        <color indexed="8"/>
      </bottom>
      <diagonal/>
    </border>
    <border>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medium">
        <color indexed="8"/>
      </right>
      <top/>
      <bottom/>
      <diagonal/>
    </border>
    <border>
      <left style="medium">
        <color indexed="8"/>
      </left>
      <right style="medium">
        <color indexed="8"/>
      </right>
      <top/>
      <bottom/>
      <diagonal/>
    </border>
    <border>
      <left style="medium">
        <color indexed="8"/>
      </left>
      <right style="medium">
        <color indexed="64"/>
      </right>
      <top/>
      <bottom/>
      <diagonal/>
    </border>
    <border>
      <left/>
      <right style="thin">
        <color indexed="64"/>
      </right>
      <top style="medium">
        <color indexed="64"/>
      </top>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medium">
        <color indexed="64"/>
      </top>
      <bottom/>
      <diagonal/>
    </border>
    <border>
      <left style="medium">
        <color indexed="8"/>
      </left>
      <right style="medium">
        <color indexed="8"/>
      </right>
      <top style="medium">
        <color indexed="8"/>
      </top>
      <bottom/>
      <diagonal/>
    </border>
  </borders>
  <cellStyleXfs count="49">
    <xf numFmtId="0" fontId="0" fillId="0" borderId="0"/>
    <xf numFmtId="177" fontId="14" fillId="0" borderId="0" applyFont="0" applyFill="0" applyBorder="0" applyAlignment="0" applyProtection="0"/>
    <xf numFmtId="177" fontId="14" fillId="0" borderId="0" applyFont="0" applyFill="0" applyBorder="0" applyAlignment="0" applyProtection="0"/>
    <xf numFmtId="186" fontId="14" fillId="0" borderId="0" applyFont="0" applyFill="0" applyBorder="0" applyAlignment="0" applyProtection="0"/>
    <xf numFmtId="0" fontId="7" fillId="0" borderId="0" applyNumberFormat="0" applyFill="0" applyBorder="0" applyAlignment="0" applyProtection="0">
      <alignment vertical="top"/>
      <protection locked="0"/>
    </xf>
    <xf numFmtId="0" fontId="55" fillId="0" borderId="0" applyNumberFormat="0" applyFill="0" applyBorder="0" applyAlignment="0" applyProtection="0"/>
    <xf numFmtId="172" fontId="14" fillId="0" borderId="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8" fontId="14" fillId="0" borderId="0" applyFont="0" applyFill="0" applyBorder="0" applyAlignment="0" applyProtection="0"/>
    <xf numFmtId="169" fontId="14" fillId="0" borderId="0" applyFont="0" applyFill="0" applyBorder="0" applyAlignment="0" applyProtection="0"/>
    <xf numFmtId="170" fontId="14" fillId="0" borderId="0" applyFill="0" applyBorder="0" applyAlignment="0" applyProtection="0"/>
    <xf numFmtId="170" fontId="14" fillId="0" borderId="0" applyFill="0" applyBorder="0" applyAlignment="0" applyProtection="0"/>
    <xf numFmtId="168" fontId="14" fillId="0" borderId="0" applyFont="0" applyFill="0" applyBorder="0" applyAlignment="0" applyProtection="0"/>
    <xf numFmtId="168" fontId="34" fillId="0" borderId="0" applyFont="0" applyFill="0" applyBorder="0" applyAlignment="0" applyProtection="0"/>
    <xf numFmtId="168" fontId="34" fillId="0" borderId="0" applyFont="0" applyFill="0" applyBorder="0" applyAlignment="0" applyProtection="0"/>
    <xf numFmtId="168" fontId="14" fillId="0" borderId="0" applyFont="0" applyFill="0" applyBorder="0" applyAlignment="0" applyProtection="0"/>
    <xf numFmtId="172" fontId="14" fillId="0" borderId="0" applyFill="0" applyBorder="0" applyAlignment="0" applyProtection="0"/>
    <xf numFmtId="172" fontId="14" fillId="0" borderId="0" applyFill="0" applyBorder="0" applyAlignment="0" applyProtection="0"/>
    <xf numFmtId="0" fontId="14" fillId="0" borderId="0" applyFont="0" applyFill="0" applyBorder="0" applyAlignment="0" applyProtection="0"/>
    <xf numFmtId="179" fontId="14" fillId="0" borderId="0" applyFont="0" applyFill="0" applyBorder="0" applyAlignment="0" applyProtection="0"/>
    <xf numFmtId="179" fontId="14" fillId="0" borderId="0" applyFont="0" applyFill="0" applyBorder="0" applyAlignment="0" applyProtection="0"/>
    <xf numFmtId="0" fontId="14" fillId="0" borderId="0" applyFont="0" applyFill="0" applyBorder="0" applyAlignment="0" applyProtection="0"/>
    <xf numFmtId="185" fontId="14" fillId="0" borderId="0" applyFont="0" applyFill="0" applyBorder="0" applyAlignment="0" applyProtection="0"/>
    <xf numFmtId="172" fontId="14" fillId="0" borderId="0" applyFill="0" applyBorder="0" applyAlignment="0" applyProtection="0"/>
    <xf numFmtId="165" fontId="54" fillId="0" borderId="0" applyFont="0" applyFill="0" applyBorder="0" applyAlignment="0" applyProtection="0"/>
    <xf numFmtId="171" fontId="1" fillId="0" borderId="0" applyFill="0" applyBorder="0" applyAlignment="0" applyProtection="0"/>
    <xf numFmtId="171" fontId="14" fillId="0" borderId="0" applyFont="0" applyFill="0" applyBorder="0" applyAlignment="0" applyProtection="0"/>
    <xf numFmtId="171" fontId="14" fillId="0" borderId="0" applyFont="0" applyFill="0" applyBorder="0" applyAlignment="0" applyProtection="0"/>
    <xf numFmtId="187" fontId="28" fillId="0" borderId="0" applyFill="0" applyBorder="0" applyAlignment="0" applyProtection="0"/>
    <xf numFmtId="171" fontId="1" fillId="0" borderId="0" applyFill="0" applyBorder="0" applyAlignment="0" applyProtection="0"/>
    <xf numFmtId="167" fontId="54" fillId="0" borderId="0" applyFont="0" applyFill="0" applyBorder="0" applyAlignment="0" applyProtection="0"/>
    <xf numFmtId="171" fontId="14" fillId="0" borderId="0" applyFill="0" applyBorder="0" applyAlignment="0" applyProtection="0"/>
    <xf numFmtId="0" fontId="1" fillId="0" borderId="0"/>
    <xf numFmtId="0" fontId="14" fillId="0" borderId="0"/>
    <xf numFmtId="0" fontId="1" fillId="0" borderId="0"/>
    <xf numFmtId="0" fontId="54" fillId="0" borderId="0"/>
    <xf numFmtId="9" fontId="1" fillId="0" borderId="0" applyFill="0" applyBorder="0" applyAlignment="0" applyProtection="0"/>
    <xf numFmtId="9" fontId="14"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4" fillId="0" borderId="0" applyFont="0" applyFill="0" applyBorder="0" applyAlignment="0" applyProtection="0"/>
    <xf numFmtId="9" fontId="14" fillId="0" borderId="0" applyFill="0" applyBorder="0" applyAlignment="0" applyProtection="0"/>
    <xf numFmtId="9" fontId="14" fillId="0" borderId="0" applyFill="0" applyBorder="0" applyAlignment="0" applyProtection="0"/>
    <xf numFmtId="9" fontId="54" fillId="0" borderId="0" applyFont="0" applyFill="0" applyBorder="0" applyAlignment="0" applyProtection="0"/>
    <xf numFmtId="9" fontId="34" fillId="0" borderId="0" applyFont="0" applyFill="0" applyBorder="0" applyAlignment="0" applyProtection="0"/>
    <xf numFmtId="9" fontId="14" fillId="0" borderId="0" applyFont="0" applyFill="0" applyBorder="0" applyAlignment="0" applyProtection="0"/>
    <xf numFmtId="9" fontId="1" fillId="0" borderId="0" applyFill="0" applyBorder="0" applyAlignment="0" applyProtection="0"/>
    <xf numFmtId="9" fontId="54" fillId="0" borderId="0" applyFont="0" applyFill="0" applyBorder="0" applyAlignment="0" applyProtection="0"/>
  </cellStyleXfs>
  <cellXfs count="551">
    <xf numFmtId="0" fontId="0" fillId="0" borderId="0" xfId="0"/>
    <xf numFmtId="0" fontId="2" fillId="0" borderId="0" xfId="0" applyFont="1"/>
    <xf numFmtId="0" fontId="5" fillId="0" borderId="0" xfId="0" applyFont="1"/>
    <xf numFmtId="0" fontId="2" fillId="0" borderId="1" xfId="0" applyFont="1" applyBorder="1"/>
    <xf numFmtId="0" fontId="2" fillId="0" borderId="2" xfId="0" applyFont="1" applyBorder="1"/>
    <xf numFmtId="0" fontId="9" fillId="0" borderId="0" xfId="0" applyFont="1"/>
    <xf numFmtId="3" fontId="2" fillId="0" borderId="0" xfId="0" applyNumberFormat="1" applyFont="1"/>
    <xf numFmtId="4" fontId="2" fillId="0" borderId="0" xfId="0" applyNumberFormat="1" applyFont="1"/>
    <xf numFmtId="3" fontId="2" fillId="0" borderId="3" xfId="0" applyNumberFormat="1" applyFont="1" applyBorder="1"/>
    <xf numFmtId="0" fontId="8" fillId="0" borderId="4" xfId="0" applyFont="1" applyBorder="1"/>
    <xf numFmtId="0" fontId="9" fillId="0" borderId="4" xfId="0" applyFont="1" applyBorder="1"/>
    <xf numFmtId="0" fontId="13" fillId="0" borderId="0" xfId="0" applyFont="1"/>
    <xf numFmtId="0" fontId="5" fillId="0" borderId="5" xfId="0" applyFont="1" applyBorder="1" applyAlignment="1">
      <alignment horizontal="center" vertical="center" wrapText="1" shrinkToFit="1"/>
    </xf>
    <xf numFmtId="0" fontId="5" fillId="0" borderId="6" xfId="0" applyFont="1" applyBorder="1" applyAlignment="1">
      <alignment horizontal="center" vertical="center" wrapText="1" shrinkToFit="1"/>
    </xf>
    <xf numFmtId="3" fontId="5" fillId="0" borderId="0" xfId="0" applyNumberFormat="1" applyFont="1"/>
    <xf numFmtId="9" fontId="2" fillId="0" borderId="3" xfId="37" applyFont="1" applyBorder="1"/>
    <xf numFmtId="3" fontId="8" fillId="0" borderId="4" xfId="0" applyNumberFormat="1" applyFont="1" applyBorder="1"/>
    <xf numFmtId="0" fontId="2" fillId="0" borderId="7" xfId="0" applyFont="1" applyBorder="1"/>
    <xf numFmtId="0" fontId="10" fillId="0" borderId="8" xfId="0" applyFont="1" applyBorder="1" applyAlignment="1">
      <alignment horizontal="left"/>
    </xf>
    <xf numFmtId="3" fontId="10" fillId="0" borderId="1" xfId="0" applyNumberFormat="1" applyFont="1" applyBorder="1" applyAlignment="1">
      <alignment horizontal="left"/>
    </xf>
    <xf numFmtId="0" fontId="2" fillId="0" borderId="1" xfId="0" applyFont="1" applyBorder="1" applyAlignment="1">
      <alignment horizontal="left"/>
    </xf>
    <xf numFmtId="0" fontId="10" fillId="0" borderId="1" xfId="0" applyFont="1" applyBorder="1" applyAlignment="1">
      <alignment horizontal="left"/>
    </xf>
    <xf numFmtId="0" fontId="2" fillId="0" borderId="9" xfId="0" applyFont="1" applyBorder="1" applyAlignment="1">
      <alignment horizontal="left"/>
    </xf>
    <xf numFmtId="0" fontId="11" fillId="0" borderId="0" xfId="0" applyFont="1" applyAlignment="1">
      <alignment horizontal="left"/>
    </xf>
    <xf numFmtId="4" fontId="2" fillId="0" borderId="3" xfId="37" applyNumberFormat="1" applyFont="1" applyBorder="1"/>
    <xf numFmtId="3" fontId="2" fillId="0" borderId="3" xfId="37" applyNumberFormat="1" applyFont="1" applyBorder="1"/>
    <xf numFmtId="0" fontId="12" fillId="0" borderId="10" xfId="0" applyFont="1" applyBorder="1"/>
    <xf numFmtId="0" fontId="15" fillId="0" borderId="11" xfId="0" applyFont="1" applyBorder="1"/>
    <xf numFmtId="3" fontId="15" fillId="0" borderId="12" xfId="0" applyNumberFormat="1" applyFont="1" applyBorder="1"/>
    <xf numFmtId="0" fontId="16" fillId="0" borderId="12" xfId="0" applyFont="1" applyBorder="1"/>
    <xf numFmtId="0" fontId="16" fillId="0" borderId="13" xfId="0" applyFont="1" applyBorder="1"/>
    <xf numFmtId="0" fontId="16" fillId="0" borderId="0" xfId="0" applyFont="1"/>
    <xf numFmtId="0" fontId="15" fillId="0" borderId="14" xfId="0" applyFont="1" applyBorder="1"/>
    <xf numFmtId="3" fontId="15" fillId="0" borderId="0" xfId="0" applyNumberFormat="1" applyFont="1"/>
    <xf numFmtId="0" fontId="16" fillId="0" borderId="2" xfId="0" applyFont="1" applyBorder="1"/>
    <xf numFmtId="0" fontId="17" fillId="0" borderId="14" xfId="0" applyFont="1" applyBorder="1"/>
    <xf numFmtId="3" fontId="17" fillId="0" borderId="0" xfId="0" applyNumberFormat="1" applyFont="1" applyAlignment="1">
      <alignment horizontal="center"/>
    </xf>
    <xf numFmtId="3" fontId="17" fillId="0" borderId="0" xfId="0" applyNumberFormat="1" applyFont="1"/>
    <xf numFmtId="3" fontId="17" fillId="0" borderId="0" xfId="0" applyNumberFormat="1" applyFont="1" applyAlignment="1">
      <alignment horizontal="right"/>
    </xf>
    <xf numFmtId="2" fontId="16" fillId="0" borderId="0" xfId="0" applyNumberFormat="1" applyFont="1"/>
    <xf numFmtId="9" fontId="17" fillId="0" borderId="14" xfId="0" applyNumberFormat="1" applyFont="1" applyBorder="1"/>
    <xf numFmtId="10" fontId="15" fillId="0" borderId="0" xfId="0" applyNumberFormat="1" applyFont="1"/>
    <xf numFmtId="3" fontId="16" fillId="0" borderId="0" xfId="0" applyNumberFormat="1" applyFont="1"/>
    <xf numFmtId="0" fontId="16" fillId="0" borderId="15" xfId="0" applyFont="1" applyBorder="1"/>
    <xf numFmtId="0" fontId="16" fillId="0" borderId="16" xfId="0" applyFont="1" applyBorder="1"/>
    <xf numFmtId="0" fontId="16" fillId="0" borderId="17" xfId="0" applyFont="1" applyBorder="1"/>
    <xf numFmtId="4" fontId="16" fillId="0" borderId="0" xfId="0" applyNumberFormat="1" applyFont="1"/>
    <xf numFmtId="4" fontId="18" fillId="0" borderId="0" xfId="0" applyNumberFormat="1" applyFont="1"/>
    <xf numFmtId="174" fontId="19" fillId="0" borderId="2" xfId="37" applyNumberFormat="1" applyFont="1" applyFill="1" applyBorder="1" applyAlignment="1" applyProtection="1"/>
    <xf numFmtId="174" fontId="19" fillId="0" borderId="18" xfId="37" applyNumberFormat="1" applyFont="1" applyFill="1" applyBorder="1" applyAlignment="1" applyProtection="1"/>
    <xf numFmtId="0" fontId="15" fillId="0" borderId="14" xfId="0" applyFont="1" applyBorder="1" applyAlignment="1">
      <alignment horizontal="left"/>
    </xf>
    <xf numFmtId="3" fontId="20" fillId="0" borderId="4" xfId="0" applyNumberFormat="1" applyFont="1" applyBorder="1"/>
    <xf numFmtId="175" fontId="19" fillId="0" borderId="2" xfId="37" applyNumberFormat="1" applyFont="1" applyFill="1" applyBorder="1" applyAlignment="1" applyProtection="1"/>
    <xf numFmtId="0" fontId="16" fillId="0" borderId="8" xfId="0" applyFont="1" applyBorder="1"/>
    <xf numFmtId="0" fontId="16" fillId="0" borderId="1" xfId="0" applyFont="1" applyBorder="1"/>
    <xf numFmtId="0" fontId="16" fillId="0" borderId="9" xfId="0" applyFont="1" applyBorder="1"/>
    <xf numFmtId="0" fontId="19" fillId="0" borderId="12" xfId="0" applyFont="1" applyBorder="1"/>
    <xf numFmtId="3" fontId="15" fillId="0" borderId="12" xfId="0" applyNumberFormat="1" applyFont="1" applyBorder="1" applyAlignment="1">
      <alignment horizontal="center" vertical="center"/>
    </xf>
    <xf numFmtId="0" fontId="16" fillId="0" borderId="12" xfId="0" applyFont="1" applyBorder="1" applyAlignment="1">
      <alignment horizontal="center" vertical="center"/>
    </xf>
    <xf numFmtId="173" fontId="15" fillId="0" borderId="0" xfId="0" applyNumberFormat="1" applyFont="1"/>
    <xf numFmtId="9" fontId="16" fillId="0" borderId="0" xfId="37" applyFont="1" applyFill="1" applyBorder="1" applyAlignment="1" applyProtection="1"/>
    <xf numFmtId="3" fontId="20" fillId="0" borderId="19" xfId="0" applyNumberFormat="1" applyFont="1" applyBorder="1"/>
    <xf numFmtId="4" fontId="16" fillId="0" borderId="1" xfId="0" applyNumberFormat="1" applyFont="1" applyBorder="1"/>
    <xf numFmtId="4" fontId="15" fillId="0" borderId="0" xfId="0" applyNumberFormat="1" applyFont="1"/>
    <xf numFmtId="3" fontId="15" fillId="0" borderId="11" xfId="0" applyNumberFormat="1" applyFont="1" applyBorder="1"/>
    <xf numFmtId="176" fontId="17" fillId="0" borderId="2" xfId="6" applyNumberFormat="1" applyFont="1" applyBorder="1" applyAlignment="1">
      <alignment horizontal="left"/>
    </xf>
    <xf numFmtId="174" fontId="16" fillId="0" borderId="0" xfId="0" applyNumberFormat="1" applyFont="1"/>
    <xf numFmtId="174" fontId="5" fillId="0" borderId="0" xfId="0" applyNumberFormat="1" applyFont="1"/>
    <xf numFmtId="3" fontId="20" fillId="2" borderId="4" xfId="0" applyNumberFormat="1" applyFont="1" applyFill="1" applyBorder="1"/>
    <xf numFmtId="3" fontId="20" fillId="2" borderId="19" xfId="0" applyNumberFormat="1" applyFont="1" applyFill="1" applyBorder="1"/>
    <xf numFmtId="174" fontId="2" fillId="0" borderId="0" xfId="0" applyNumberFormat="1" applyFont="1"/>
    <xf numFmtId="4" fontId="2" fillId="0" borderId="3" xfId="0" applyNumberFormat="1" applyFont="1" applyBorder="1"/>
    <xf numFmtId="4" fontId="2" fillId="0" borderId="3" xfId="37" applyNumberFormat="1" applyFont="1" applyBorder="1" applyAlignment="1">
      <alignment wrapText="1"/>
    </xf>
    <xf numFmtId="174" fontId="19" fillId="0" borderId="0" xfId="37" applyNumberFormat="1" applyFont="1" applyFill="1" applyBorder="1" applyAlignment="1" applyProtection="1"/>
    <xf numFmtId="174" fontId="19" fillId="0" borderId="20" xfId="37" applyNumberFormat="1" applyFont="1" applyFill="1" applyBorder="1" applyAlignment="1" applyProtection="1"/>
    <xf numFmtId="175" fontId="19" fillId="0" borderId="0" xfId="37" applyNumberFormat="1" applyFont="1" applyFill="1" applyBorder="1" applyAlignment="1" applyProtection="1"/>
    <xf numFmtId="0" fontId="16" fillId="0" borderId="21" xfId="0" applyFont="1" applyBorder="1"/>
    <xf numFmtId="0" fontId="16" fillId="0" borderId="22" xfId="0" applyFont="1" applyBorder="1"/>
    <xf numFmtId="0" fontId="16" fillId="0" borderId="23" xfId="0" applyFont="1" applyBorder="1"/>
    <xf numFmtId="0" fontId="15" fillId="0" borderId="24" xfId="0" applyFont="1" applyBorder="1"/>
    <xf numFmtId="3" fontId="15" fillId="0" borderId="25" xfId="0" applyNumberFormat="1" applyFont="1" applyBorder="1"/>
    <xf numFmtId="0" fontId="16" fillId="0" borderId="25" xfId="0" applyFont="1" applyBorder="1"/>
    <xf numFmtId="4" fontId="18" fillId="0" borderId="25" xfId="0" applyNumberFormat="1" applyFont="1" applyBorder="1"/>
    <xf numFmtId="174" fontId="19" fillId="0" borderId="26" xfId="37" applyNumberFormat="1" applyFont="1" applyFill="1" applyBorder="1" applyAlignment="1" applyProtection="1"/>
    <xf numFmtId="0" fontId="15" fillId="0" borderId="27" xfId="0" applyFont="1" applyBorder="1"/>
    <xf numFmtId="174" fontId="19" fillId="0" borderId="28" xfId="37" applyNumberFormat="1" applyFont="1" applyFill="1" applyBorder="1" applyAlignment="1" applyProtection="1"/>
    <xf numFmtId="175" fontId="19" fillId="0" borderId="29" xfId="37" applyNumberFormat="1" applyFont="1" applyFill="1" applyBorder="1" applyAlignment="1" applyProtection="1"/>
    <xf numFmtId="0" fontId="2" fillId="0" borderId="30" xfId="0" applyFont="1" applyBorder="1"/>
    <xf numFmtId="0" fontId="2" fillId="0" borderId="31" xfId="0" applyFont="1" applyBorder="1"/>
    <xf numFmtId="0" fontId="12" fillId="0" borderId="12" xfId="0" applyFont="1" applyBorder="1" applyAlignment="1">
      <alignment vertical="center" wrapText="1"/>
    </xf>
    <xf numFmtId="0" fontId="32" fillId="0" borderId="2" xfId="0" applyFont="1" applyBorder="1"/>
    <xf numFmtId="2" fontId="16" fillId="0" borderId="2" xfId="0" applyNumberFormat="1" applyFont="1" applyBorder="1"/>
    <xf numFmtId="173" fontId="2" fillId="0" borderId="3" xfId="37" applyNumberFormat="1" applyFont="1" applyBorder="1"/>
    <xf numFmtId="3" fontId="16" fillId="0" borderId="1" xfId="0" applyNumberFormat="1" applyFont="1" applyBorder="1"/>
    <xf numFmtId="3" fontId="16" fillId="0" borderId="16" xfId="0" applyNumberFormat="1" applyFont="1" applyBorder="1"/>
    <xf numFmtId="9" fontId="16" fillId="0" borderId="2" xfId="0" applyNumberFormat="1" applyFont="1" applyBorder="1"/>
    <xf numFmtId="0" fontId="16" fillId="0" borderId="2" xfId="0" applyFont="1" applyBorder="1" applyAlignment="1">
      <alignment horizontal="center"/>
    </xf>
    <xf numFmtId="0" fontId="15" fillId="2" borderId="11" xfId="0" applyFont="1" applyFill="1" applyBorder="1"/>
    <xf numFmtId="3" fontId="15" fillId="2" borderId="12" xfId="0" applyNumberFormat="1" applyFont="1" applyFill="1" applyBorder="1"/>
    <xf numFmtId="0" fontId="16" fillId="2" borderId="12" xfId="0" applyFont="1" applyFill="1" applyBorder="1"/>
    <xf numFmtId="0" fontId="16" fillId="2" borderId="13" xfId="0" applyFont="1" applyFill="1" applyBorder="1"/>
    <xf numFmtId="0" fontId="15" fillId="2" borderId="14" xfId="0" applyFont="1" applyFill="1" applyBorder="1"/>
    <xf numFmtId="3" fontId="15" fillId="2" borderId="0" xfId="0" applyNumberFormat="1" applyFont="1" applyFill="1"/>
    <xf numFmtId="0" fontId="16" fillId="2" borderId="0" xfId="0" applyFont="1" applyFill="1"/>
    <xf numFmtId="0" fontId="16" fillId="2" borderId="2" xfId="0" applyFont="1" applyFill="1" applyBorder="1"/>
    <xf numFmtId="0" fontId="17" fillId="2" borderId="14" xfId="0" applyFont="1" applyFill="1" applyBorder="1"/>
    <xf numFmtId="3" fontId="17" fillId="2" borderId="0" xfId="0" applyNumberFormat="1" applyFont="1" applyFill="1" applyAlignment="1">
      <alignment horizontal="center"/>
    </xf>
    <xf numFmtId="3" fontId="17" fillId="2" borderId="0" xfId="0" applyNumberFormat="1" applyFont="1" applyFill="1"/>
    <xf numFmtId="3" fontId="17" fillId="2" borderId="0" xfId="0" applyNumberFormat="1" applyFont="1" applyFill="1" applyAlignment="1">
      <alignment horizontal="right"/>
    </xf>
    <xf numFmtId="9" fontId="17" fillId="2" borderId="14" xfId="0" applyNumberFormat="1" applyFont="1" applyFill="1" applyBorder="1"/>
    <xf numFmtId="2" fontId="16" fillId="2" borderId="2" xfId="0" applyNumberFormat="1" applyFont="1" applyFill="1" applyBorder="1"/>
    <xf numFmtId="0" fontId="32" fillId="2" borderId="2" xfId="0" applyFont="1" applyFill="1" applyBorder="1"/>
    <xf numFmtId="10" fontId="15" fillId="2" borderId="0" xfId="0" applyNumberFormat="1" applyFont="1" applyFill="1"/>
    <xf numFmtId="0" fontId="16" fillId="2" borderId="15" xfId="0" applyFont="1" applyFill="1" applyBorder="1"/>
    <xf numFmtId="0" fontId="16" fillId="2" borderId="16" xfId="0" applyFont="1" applyFill="1" applyBorder="1"/>
    <xf numFmtId="0" fontId="16" fillId="2" borderId="17" xfId="0" applyFont="1" applyFill="1" applyBorder="1"/>
    <xf numFmtId="4" fontId="18" fillId="2" borderId="0" xfId="0" applyNumberFormat="1" applyFont="1" applyFill="1"/>
    <xf numFmtId="174" fontId="19" fillId="2" borderId="2" xfId="37" applyNumberFormat="1" applyFont="1" applyFill="1" applyBorder="1" applyAlignment="1" applyProtection="1"/>
    <xf numFmtId="4" fontId="16" fillId="2" borderId="0" xfId="0" applyNumberFormat="1" applyFont="1" applyFill="1"/>
    <xf numFmtId="174" fontId="19" fillId="2" borderId="18" xfId="37" applyNumberFormat="1" applyFont="1" applyFill="1" applyBorder="1" applyAlignment="1" applyProtection="1"/>
    <xf numFmtId="0" fontId="15" fillId="2" borderId="14" xfId="0" applyFont="1" applyFill="1" applyBorder="1" applyAlignment="1">
      <alignment horizontal="left"/>
    </xf>
    <xf numFmtId="3" fontId="16" fillId="2" borderId="0" xfId="0" applyNumberFormat="1" applyFont="1" applyFill="1"/>
    <xf numFmtId="175" fontId="19" fillId="2" borderId="2" xfId="37" applyNumberFormat="1" applyFont="1" applyFill="1" applyBorder="1" applyAlignment="1" applyProtection="1"/>
    <xf numFmtId="0" fontId="16" fillId="2" borderId="8" xfId="0" applyFont="1" applyFill="1" applyBorder="1"/>
    <xf numFmtId="0" fontId="16" fillId="2" borderId="1" xfId="0" applyFont="1" applyFill="1" applyBorder="1"/>
    <xf numFmtId="4" fontId="16" fillId="2" borderId="1" xfId="0" applyNumberFormat="1" applyFont="1" applyFill="1" applyBorder="1"/>
    <xf numFmtId="0" fontId="16" fillId="2" borderId="9" xfId="0" applyFont="1" applyFill="1" applyBorder="1"/>
    <xf numFmtId="1" fontId="16" fillId="2" borderId="2" xfId="0" applyNumberFormat="1" applyFont="1" applyFill="1" applyBorder="1"/>
    <xf numFmtId="3" fontId="15" fillId="2" borderId="11" xfId="0" applyNumberFormat="1" applyFont="1" applyFill="1" applyBorder="1"/>
    <xf numFmtId="4" fontId="16" fillId="2" borderId="0" xfId="37" applyNumberFormat="1" applyFont="1" applyFill="1" applyBorder="1" applyAlignment="1" applyProtection="1"/>
    <xf numFmtId="178" fontId="2" fillId="0" borderId="32" xfId="0" applyNumberFormat="1" applyFont="1" applyBorder="1"/>
    <xf numFmtId="0" fontId="32" fillId="0" borderId="1" xfId="0" applyFont="1" applyBorder="1"/>
    <xf numFmtId="4" fontId="31" fillId="0" borderId="0" xfId="0" applyNumberFormat="1" applyFont="1"/>
    <xf numFmtId="4" fontId="16" fillId="3" borderId="1" xfId="0" applyNumberFormat="1" applyFont="1" applyFill="1" applyBorder="1"/>
    <xf numFmtId="0" fontId="32" fillId="0" borderId="0" xfId="0" applyFont="1"/>
    <xf numFmtId="0" fontId="2" fillId="0" borderId="33" xfId="0" applyFont="1" applyBorder="1"/>
    <xf numFmtId="0" fontId="32" fillId="0" borderId="33" xfId="0" applyFont="1" applyBorder="1"/>
    <xf numFmtId="4" fontId="16" fillId="0" borderId="33" xfId="0" applyNumberFormat="1" applyFont="1" applyBorder="1"/>
    <xf numFmtId="0" fontId="16" fillId="0" borderId="34" xfId="0" applyFont="1" applyBorder="1"/>
    <xf numFmtId="0" fontId="16" fillId="0" borderId="35" xfId="0" applyFont="1" applyBorder="1"/>
    <xf numFmtId="0" fontId="16" fillId="0" borderId="36" xfId="0" applyFont="1" applyBorder="1"/>
    <xf numFmtId="0" fontId="15" fillId="0" borderId="37" xfId="0" applyFont="1" applyBorder="1"/>
    <xf numFmtId="174" fontId="19" fillId="0" borderId="38" xfId="37" applyNumberFormat="1" applyFont="1" applyFill="1" applyBorder="1" applyAlignment="1" applyProtection="1"/>
    <xf numFmtId="174" fontId="19" fillId="0" borderId="39" xfId="37" applyNumberFormat="1" applyFont="1" applyFill="1" applyBorder="1" applyAlignment="1" applyProtection="1"/>
    <xf numFmtId="0" fontId="15" fillId="0" borderId="37" xfId="0" applyFont="1" applyBorder="1" applyAlignment="1">
      <alignment horizontal="left"/>
    </xf>
    <xf numFmtId="175" fontId="19" fillId="0" borderId="38" xfId="37" applyNumberFormat="1" applyFont="1" applyFill="1" applyBorder="1" applyAlignment="1" applyProtection="1"/>
    <xf numFmtId="0" fontId="2" fillId="0" borderId="40" xfId="0" applyFont="1" applyBorder="1"/>
    <xf numFmtId="0" fontId="2" fillId="0" borderId="41" xfId="0" applyFont="1" applyBorder="1"/>
    <xf numFmtId="0" fontId="15" fillId="0" borderId="42" xfId="0" applyFont="1" applyBorder="1"/>
    <xf numFmtId="3" fontId="15" fillId="0" borderId="43" xfId="0" applyNumberFormat="1" applyFont="1" applyBorder="1"/>
    <xf numFmtId="0" fontId="16" fillId="0" borderId="43" xfId="0" applyFont="1" applyBorder="1"/>
    <xf numFmtId="4" fontId="18" fillId="0" borderId="43" xfId="0" applyNumberFormat="1" applyFont="1" applyBorder="1"/>
    <xf numFmtId="174" fontId="19" fillId="0" borderId="44" xfId="37" applyNumberFormat="1" applyFont="1" applyFill="1" applyBorder="1" applyAlignment="1" applyProtection="1"/>
    <xf numFmtId="3" fontId="17" fillId="9" borderId="0" xfId="0" applyNumberFormat="1" applyFont="1" applyFill="1"/>
    <xf numFmtId="174" fontId="33" fillId="0" borderId="38" xfId="37" applyNumberFormat="1" applyFont="1" applyFill="1" applyBorder="1" applyAlignment="1" applyProtection="1"/>
    <xf numFmtId="3" fontId="16" fillId="0" borderId="2" xfId="0" applyNumberFormat="1" applyFont="1" applyBorder="1"/>
    <xf numFmtId="0" fontId="0" fillId="0" borderId="27" xfId="0" applyBorder="1" applyAlignment="1">
      <alignment vertical="center"/>
    </xf>
    <xf numFmtId="0" fontId="0" fillId="0" borderId="0" xfId="0" applyAlignment="1">
      <alignment vertical="center"/>
    </xf>
    <xf numFmtId="0" fontId="0" fillId="0" borderId="29" xfId="0" applyBorder="1" applyAlignment="1">
      <alignment vertical="center"/>
    </xf>
    <xf numFmtId="0" fontId="28" fillId="0" borderId="0" xfId="0" applyFont="1"/>
    <xf numFmtId="3" fontId="0" fillId="0" borderId="0" xfId="0" applyNumberFormat="1" applyAlignment="1">
      <alignment vertical="center"/>
    </xf>
    <xf numFmtId="3" fontId="0" fillId="0" borderId="29" xfId="0" applyNumberFormat="1" applyBorder="1" applyAlignment="1">
      <alignment vertical="center"/>
    </xf>
    <xf numFmtId="0" fontId="36" fillId="0" borderId="45" xfId="0" applyFont="1" applyBorder="1" applyAlignment="1">
      <alignment horizontal="center" vertical="center" wrapText="1"/>
    </xf>
    <xf numFmtId="0" fontId="28" fillId="0" borderId="0" xfId="0" applyFont="1" applyAlignment="1">
      <alignment horizontal="center" vertical="center" wrapText="1"/>
    </xf>
    <xf numFmtId="0" fontId="28" fillId="0" borderId="29" xfId="0" applyFont="1" applyBorder="1" applyAlignment="1">
      <alignment horizontal="center" vertical="center" wrapText="1"/>
    </xf>
    <xf numFmtId="0" fontId="37" fillId="0" borderId="27" xfId="0" applyFont="1" applyBorder="1" applyAlignment="1">
      <alignment horizontal="left"/>
    </xf>
    <xf numFmtId="0" fontId="37" fillId="0" borderId="46" xfId="0" applyFont="1" applyBorder="1" applyAlignment="1">
      <alignment horizontal="left"/>
    </xf>
    <xf numFmtId="0" fontId="0" fillId="0" borderId="30" xfId="0" applyBorder="1" applyAlignment="1">
      <alignment vertical="center"/>
    </xf>
    <xf numFmtId="0" fontId="0" fillId="0" borderId="31" xfId="0" applyBorder="1" applyAlignment="1">
      <alignment vertical="center"/>
    </xf>
    <xf numFmtId="3" fontId="0" fillId="0" borderId="0" xfId="0" applyNumberFormat="1"/>
    <xf numFmtId="0" fontId="29" fillId="0" borderId="0" xfId="0" applyFont="1"/>
    <xf numFmtId="0" fontId="40" fillId="0" borderId="0" xfId="0" applyFont="1"/>
    <xf numFmtId="3" fontId="0" fillId="0" borderId="47" xfId="0" applyNumberFormat="1" applyBorder="1" applyAlignment="1">
      <alignment vertical="center"/>
    </xf>
    <xf numFmtId="0" fontId="37" fillId="0" borderId="0" xfId="0" applyFont="1" applyAlignment="1">
      <alignment horizontal="left"/>
    </xf>
    <xf numFmtId="0" fontId="36" fillId="0" borderId="27" xfId="0" applyFont="1" applyBorder="1" applyAlignment="1">
      <alignment horizontal="center" vertical="center" wrapText="1"/>
    </xf>
    <xf numFmtId="0" fontId="29" fillId="0" borderId="27" xfId="0" applyFont="1" applyBorder="1"/>
    <xf numFmtId="174" fontId="29" fillId="0" borderId="0" xfId="0" applyNumberFormat="1" applyFont="1"/>
    <xf numFmtId="0" fontId="29" fillId="0" borderId="30" xfId="0" applyFont="1" applyBorder="1"/>
    <xf numFmtId="0" fontId="22" fillId="0" borderId="0" xfId="0" applyFont="1" applyAlignment="1">
      <alignment vertical="center" wrapText="1"/>
    </xf>
    <xf numFmtId="0" fontId="29" fillId="0" borderId="29" xfId="0" applyFont="1" applyBorder="1"/>
    <xf numFmtId="0" fontId="22" fillId="0" borderId="0" xfId="0" applyFont="1"/>
    <xf numFmtId="0" fontId="29" fillId="0" borderId="27" xfId="0" applyFont="1" applyBorder="1" applyAlignment="1">
      <alignment horizontal="left"/>
    </xf>
    <xf numFmtId="0" fontId="29" fillId="0" borderId="31" xfId="0" applyFont="1" applyBorder="1"/>
    <xf numFmtId="0" fontId="29" fillId="0" borderId="0" xfId="0" applyFont="1" applyAlignment="1">
      <alignment vertical="center"/>
    </xf>
    <xf numFmtId="0" fontId="29" fillId="0" borderId="46" xfId="0" applyFont="1" applyBorder="1"/>
    <xf numFmtId="0" fontId="43" fillId="0" borderId="0" xfId="0" applyFont="1"/>
    <xf numFmtId="0" fontId="44" fillId="0" borderId="0" xfId="0" applyFont="1"/>
    <xf numFmtId="0" fontId="56" fillId="0" borderId="48" xfId="0" applyFont="1" applyBorder="1" applyAlignment="1">
      <alignment vertical="center"/>
    </xf>
    <xf numFmtId="174" fontId="0" fillId="0" borderId="47" xfId="0" applyNumberFormat="1" applyBorder="1" applyAlignment="1">
      <alignment horizontal="left" vertical="center"/>
    </xf>
    <xf numFmtId="0" fontId="0" fillId="0" borderId="49" xfId="0" applyBorder="1" applyAlignment="1">
      <alignment vertical="center"/>
    </xf>
    <xf numFmtId="174" fontId="0" fillId="0" borderId="47" xfId="0" applyNumberFormat="1" applyBorder="1" applyAlignment="1">
      <alignment vertical="center"/>
    </xf>
    <xf numFmtId="0" fontId="56" fillId="0" borderId="43" xfId="0" applyFont="1" applyBorder="1" applyAlignment="1">
      <alignment horizontal="right" vertical="center"/>
    </xf>
    <xf numFmtId="0" fontId="6" fillId="0" borderId="0" xfId="0" applyFont="1"/>
    <xf numFmtId="0" fontId="6" fillId="0" borderId="0" xfId="0" applyFont="1" applyAlignment="1">
      <alignment vertical="center"/>
    </xf>
    <xf numFmtId="3" fontId="41" fillId="0" borderId="0" xfId="0" applyNumberFormat="1" applyFont="1"/>
    <xf numFmtId="3" fontId="6" fillId="0" borderId="0" xfId="0" applyNumberFormat="1" applyFont="1"/>
    <xf numFmtId="176" fontId="14" fillId="0" borderId="0" xfId="6" applyNumberFormat="1"/>
    <xf numFmtId="0" fontId="41" fillId="0" borderId="50" xfId="0" applyFont="1" applyBorder="1" applyAlignment="1">
      <alignment horizontal="center" vertical="center" wrapText="1"/>
    </xf>
    <xf numFmtId="182" fontId="45" fillId="4" borderId="50" xfId="26" applyNumberFormat="1" applyFont="1" applyFill="1" applyBorder="1" applyAlignment="1">
      <alignment horizontal="center" vertical="center" wrapText="1"/>
    </xf>
    <xf numFmtId="0" fontId="41" fillId="5" borderId="50" xfId="0" applyFont="1" applyFill="1" applyBorder="1" applyAlignment="1">
      <alignment horizontal="center" vertical="center" wrapText="1"/>
    </xf>
    <xf numFmtId="182" fontId="6" fillId="0" borderId="51" xfId="26" applyNumberFormat="1" applyFont="1" applyFill="1" applyBorder="1" applyAlignment="1">
      <alignment vertical="center"/>
    </xf>
    <xf numFmtId="182" fontId="45" fillId="4" borderId="51" xfId="26" applyNumberFormat="1" applyFont="1" applyFill="1" applyBorder="1" applyAlignment="1">
      <alignment vertical="center"/>
    </xf>
    <xf numFmtId="182" fontId="57" fillId="4" borderId="51" xfId="26" applyNumberFormat="1" applyFont="1" applyFill="1" applyBorder="1" applyAlignment="1">
      <alignment vertical="center"/>
    </xf>
    <xf numFmtId="182" fontId="45" fillId="5" borderId="51" xfId="26" applyNumberFormat="1" applyFont="1" applyFill="1" applyBorder="1" applyAlignment="1">
      <alignment vertical="center"/>
    </xf>
    <xf numFmtId="182" fontId="6" fillId="5" borderId="51" xfId="26" applyNumberFormat="1" applyFont="1" applyFill="1" applyBorder="1" applyAlignment="1">
      <alignment vertical="center"/>
    </xf>
    <xf numFmtId="182" fontId="45" fillId="4" borderId="52" xfId="26" applyNumberFormat="1" applyFont="1" applyFill="1" applyBorder="1" applyAlignment="1">
      <alignment vertical="center"/>
    </xf>
    <xf numFmtId="182" fontId="6" fillId="0" borderId="0" xfId="26" applyNumberFormat="1" applyFont="1" applyFill="1" applyBorder="1" applyAlignment="1">
      <alignment vertical="center"/>
    </xf>
    <xf numFmtId="182" fontId="6" fillId="10" borderId="0" xfId="26" applyNumberFormat="1" applyFont="1" applyFill="1" applyBorder="1" applyAlignment="1">
      <alignment vertical="center"/>
    </xf>
    <xf numFmtId="0" fontId="6" fillId="11" borderId="24" xfId="0" applyFont="1" applyFill="1" applyBorder="1"/>
    <xf numFmtId="0" fontId="41" fillId="11" borderId="25" xfId="0" applyFont="1" applyFill="1" applyBorder="1" applyAlignment="1">
      <alignment horizontal="center" vertical="center" wrapText="1"/>
    </xf>
    <xf numFmtId="0" fontId="6" fillId="11" borderId="25" xfId="0" applyFont="1" applyFill="1" applyBorder="1"/>
    <xf numFmtId="0" fontId="6" fillId="11" borderId="26" xfId="0" applyFont="1" applyFill="1" applyBorder="1"/>
    <xf numFmtId="0" fontId="6" fillId="11" borderId="53" xfId="0" applyFont="1" applyFill="1" applyBorder="1"/>
    <xf numFmtId="0" fontId="41" fillId="11" borderId="54" xfId="0" applyFont="1" applyFill="1" applyBorder="1" applyAlignment="1">
      <alignment horizontal="center"/>
    </xf>
    <xf numFmtId="0" fontId="41" fillId="11" borderId="55" xfId="0" applyFont="1" applyFill="1" applyBorder="1" applyAlignment="1">
      <alignment horizontal="center" vertical="center" wrapText="1"/>
    </xf>
    <xf numFmtId="0" fontId="6" fillId="11" borderId="56" xfId="0" applyFont="1" applyFill="1" applyBorder="1"/>
    <xf numFmtId="3" fontId="6" fillId="11" borderId="51" xfId="0" applyNumberFormat="1" applyFont="1" applyFill="1" applyBorder="1"/>
    <xf numFmtId="0" fontId="6" fillId="11" borderId="51" xfId="0" applyFont="1" applyFill="1" applyBorder="1" applyAlignment="1">
      <alignment horizontal="center"/>
    </xf>
    <xf numFmtId="9" fontId="6" fillId="11" borderId="51" xfId="0" applyNumberFormat="1" applyFont="1" applyFill="1" applyBorder="1" applyAlignment="1">
      <alignment horizontal="center"/>
    </xf>
    <xf numFmtId="0" fontId="6" fillId="11" borderId="57" xfId="0" applyFont="1" applyFill="1" applyBorder="1"/>
    <xf numFmtId="3" fontId="6" fillId="11" borderId="52" xfId="0" applyNumberFormat="1" applyFont="1" applyFill="1" applyBorder="1"/>
    <xf numFmtId="0" fontId="6" fillId="11" borderId="52" xfId="0" applyFont="1" applyFill="1" applyBorder="1" applyAlignment="1">
      <alignment horizontal="center"/>
    </xf>
    <xf numFmtId="9" fontId="6" fillId="11" borderId="52" xfId="0" applyNumberFormat="1" applyFont="1" applyFill="1" applyBorder="1" applyAlignment="1">
      <alignment horizontal="center"/>
    </xf>
    <xf numFmtId="0" fontId="6" fillId="11" borderId="52" xfId="0" applyFont="1" applyFill="1" applyBorder="1" applyAlignment="1">
      <alignment horizontal="left"/>
    </xf>
    <xf numFmtId="0" fontId="6" fillId="11" borderId="52" xfId="0" applyFont="1" applyFill="1" applyBorder="1"/>
    <xf numFmtId="0" fontId="6" fillId="11" borderId="58" xfId="0" applyFont="1" applyFill="1" applyBorder="1"/>
    <xf numFmtId="0" fontId="6" fillId="11" borderId="59" xfId="0" applyFont="1" applyFill="1" applyBorder="1"/>
    <xf numFmtId="3" fontId="6" fillId="11" borderId="50" xfId="0" applyNumberFormat="1" applyFont="1" applyFill="1" applyBorder="1"/>
    <xf numFmtId="0" fontId="6" fillId="11" borderId="50" xfId="0" applyFont="1" applyFill="1" applyBorder="1" applyAlignment="1">
      <alignment horizontal="center"/>
    </xf>
    <xf numFmtId="9" fontId="6" fillId="11" borderId="50" xfId="0" applyNumberFormat="1" applyFont="1" applyFill="1" applyBorder="1" applyAlignment="1">
      <alignment horizontal="center"/>
    </xf>
    <xf numFmtId="0" fontId="6" fillId="11" borderId="50" xfId="0" applyFont="1" applyFill="1" applyBorder="1" applyAlignment="1">
      <alignment horizontal="left"/>
    </xf>
    <xf numFmtId="0" fontId="6" fillId="11" borderId="50" xfId="0" applyFont="1" applyFill="1" applyBorder="1"/>
    <xf numFmtId="0" fontId="6" fillId="11" borderId="60" xfId="0" applyFont="1" applyFill="1" applyBorder="1"/>
    <xf numFmtId="0" fontId="41" fillId="12" borderId="61" xfId="0" applyFont="1" applyFill="1" applyBorder="1" applyAlignment="1">
      <alignment horizontal="center"/>
    </xf>
    <xf numFmtId="0" fontId="41" fillId="12" borderId="62" xfId="0" applyFont="1" applyFill="1" applyBorder="1" applyAlignment="1">
      <alignment horizontal="center"/>
    </xf>
    <xf numFmtId="0" fontId="41" fillId="12" borderId="63" xfId="0" applyFont="1" applyFill="1" applyBorder="1" applyAlignment="1">
      <alignment horizontal="center"/>
    </xf>
    <xf numFmtId="3" fontId="47" fillId="12" borderId="64" xfId="0" applyNumberFormat="1" applyFont="1" applyFill="1" applyBorder="1"/>
    <xf numFmtId="3" fontId="6" fillId="12" borderId="65" xfId="0" applyNumberFormat="1" applyFont="1" applyFill="1" applyBorder="1"/>
    <xf numFmtId="3" fontId="6" fillId="12" borderId="60" xfId="0" applyNumberFormat="1" applyFont="1" applyFill="1" applyBorder="1"/>
    <xf numFmtId="183" fontId="6" fillId="0" borderId="0" xfId="46" applyNumberFormat="1" applyFont="1" applyFill="1" applyBorder="1"/>
    <xf numFmtId="0" fontId="58" fillId="6" borderId="61" xfId="0" applyFont="1" applyFill="1" applyBorder="1" applyAlignment="1">
      <alignment horizontal="center" vertical="center"/>
    </xf>
    <xf numFmtId="0" fontId="58" fillId="6" borderId="62" xfId="0" applyFont="1" applyFill="1" applyBorder="1" applyAlignment="1">
      <alignment horizontal="center" vertical="center"/>
    </xf>
    <xf numFmtId="0" fontId="58" fillId="6" borderId="62" xfId="0" applyFont="1" applyFill="1" applyBorder="1" applyAlignment="1">
      <alignment vertical="center"/>
    </xf>
    <xf numFmtId="181" fontId="59" fillId="0" borderId="57" xfId="0" applyNumberFormat="1" applyFont="1" applyBorder="1"/>
    <xf numFmtId="181" fontId="59" fillId="0" borderId="52" xfId="0" applyNumberFormat="1" applyFont="1" applyBorder="1" applyAlignment="1">
      <alignment horizontal="center"/>
    </xf>
    <xf numFmtId="0" fontId="59" fillId="0" borderId="52" xfId="0" applyFont="1" applyBorder="1"/>
    <xf numFmtId="182" fontId="59" fillId="0" borderId="52" xfId="0" applyNumberFormat="1" applyFont="1" applyBorder="1"/>
    <xf numFmtId="181" fontId="59" fillId="0" borderId="52" xfId="6" applyNumberFormat="1" applyFont="1" applyFill="1" applyBorder="1"/>
    <xf numFmtId="181" fontId="6" fillId="0" borderId="0" xfId="6" applyNumberFormat="1" applyFont="1" applyFill="1" applyBorder="1" applyAlignment="1">
      <alignment horizontal="center" vertical="center"/>
    </xf>
    <xf numFmtId="0" fontId="6" fillId="0" borderId="0" xfId="0" applyFont="1" applyAlignment="1">
      <alignment horizontal="center" vertical="center" wrapText="1"/>
    </xf>
    <xf numFmtId="0" fontId="6" fillId="0" borderId="51" xfId="0" applyFont="1" applyBorder="1" applyAlignment="1">
      <alignment horizontal="justify" vertical="center"/>
    </xf>
    <xf numFmtId="49" fontId="6" fillId="0" borderId="51" xfId="0" applyNumberFormat="1" applyFont="1" applyBorder="1" applyAlignment="1">
      <alignment horizontal="center" vertical="center"/>
    </xf>
    <xf numFmtId="181" fontId="6" fillId="0" borderId="51" xfId="6" applyNumberFormat="1" applyFont="1" applyFill="1" applyBorder="1" applyAlignment="1" applyProtection="1">
      <alignment horizontal="center" vertical="center"/>
    </xf>
    <xf numFmtId="182" fontId="6" fillId="0" borderId="51" xfId="26" applyNumberFormat="1" applyFont="1" applyFill="1" applyBorder="1" applyAlignment="1" applyProtection="1">
      <alignment horizontal="center" vertical="center"/>
    </xf>
    <xf numFmtId="181" fontId="6" fillId="5" borderId="51" xfId="6" applyNumberFormat="1" applyFont="1" applyFill="1" applyBorder="1" applyAlignment="1" applyProtection="1">
      <alignment horizontal="center" vertical="center"/>
    </xf>
    <xf numFmtId="1" fontId="6" fillId="0" borderId="51" xfId="0" applyNumberFormat="1" applyFont="1" applyBorder="1" applyAlignment="1">
      <alignment horizontal="center" vertical="center"/>
    </xf>
    <xf numFmtId="181" fontId="41" fillId="0" borderId="51" xfId="6" applyNumberFormat="1" applyFont="1" applyFill="1" applyBorder="1" applyAlignment="1" applyProtection="1">
      <alignment horizontal="center" vertical="center"/>
    </xf>
    <xf numFmtId="181" fontId="6" fillId="0" borderId="51" xfId="6" applyNumberFormat="1" applyFont="1" applyFill="1" applyBorder="1" applyAlignment="1" applyProtection="1">
      <alignment vertical="center"/>
    </xf>
    <xf numFmtId="0" fontId="6" fillId="0" borderId="52" xfId="0" applyFont="1" applyBorder="1" applyAlignment="1">
      <alignment horizontal="justify" vertical="center"/>
    </xf>
    <xf numFmtId="181" fontId="6" fillId="0" borderId="0" xfId="6" applyNumberFormat="1" applyFont="1" applyFill="1" applyBorder="1" applyAlignment="1" applyProtection="1">
      <alignment vertical="center"/>
    </xf>
    <xf numFmtId="181" fontId="6" fillId="0" borderId="37" xfId="6" applyNumberFormat="1" applyFont="1" applyFill="1" applyBorder="1" applyAlignment="1" applyProtection="1">
      <alignment horizontal="center" vertical="center"/>
    </xf>
    <xf numFmtId="0" fontId="6" fillId="0" borderId="38" xfId="0" applyFont="1" applyBorder="1" applyAlignment="1">
      <alignment horizontal="justify" vertical="center"/>
    </xf>
    <xf numFmtId="49" fontId="6" fillId="0" borderId="0" xfId="0" applyNumberFormat="1" applyFont="1" applyAlignment="1">
      <alignment horizontal="center" vertical="center"/>
    </xf>
    <xf numFmtId="181" fontId="6" fillId="0" borderId="0" xfId="6" applyNumberFormat="1" applyFont="1" applyFill="1" applyBorder="1" applyAlignment="1" applyProtection="1">
      <alignment horizontal="center" vertical="center"/>
    </xf>
    <xf numFmtId="182" fontId="6" fillId="0" borderId="0" xfId="26" applyNumberFormat="1" applyFont="1" applyFill="1" applyBorder="1" applyAlignment="1" applyProtection="1">
      <alignment horizontal="center" vertical="center"/>
    </xf>
    <xf numFmtId="1" fontId="6" fillId="0" borderId="0" xfId="0" applyNumberFormat="1" applyFont="1" applyAlignment="1">
      <alignment horizontal="center" vertical="center"/>
    </xf>
    <xf numFmtId="181" fontId="41" fillId="0" borderId="0" xfId="6" applyNumberFormat="1" applyFont="1" applyFill="1" applyBorder="1" applyAlignment="1" applyProtection="1">
      <alignment horizontal="center" vertical="center"/>
    </xf>
    <xf numFmtId="181" fontId="6" fillId="10" borderId="0" xfId="6" applyNumberFormat="1" applyFont="1" applyFill="1" applyBorder="1" applyAlignment="1" applyProtection="1">
      <alignment vertical="center"/>
    </xf>
    <xf numFmtId="181" fontId="6" fillId="10" borderId="37" xfId="6" applyNumberFormat="1" applyFont="1" applyFill="1" applyBorder="1" applyAlignment="1" applyProtection="1">
      <alignment vertical="center"/>
    </xf>
    <xf numFmtId="0" fontId="6" fillId="10" borderId="38" xfId="0" applyFont="1" applyFill="1" applyBorder="1" applyAlignment="1">
      <alignment horizontal="justify" vertical="center"/>
    </xf>
    <xf numFmtId="0" fontId="6" fillId="10" borderId="37" xfId="0" applyFont="1" applyFill="1" applyBorder="1" applyAlignment="1">
      <alignment horizontal="justify" vertical="center"/>
    </xf>
    <xf numFmtId="49" fontId="6" fillId="10" borderId="0" xfId="0" applyNumberFormat="1" applyFont="1" applyFill="1" applyAlignment="1">
      <alignment horizontal="center" vertical="center"/>
    </xf>
    <xf numFmtId="2" fontId="6" fillId="10" borderId="0" xfId="0" applyNumberFormat="1" applyFont="1" applyFill="1" applyAlignment="1">
      <alignment horizontal="center" vertical="center"/>
    </xf>
    <xf numFmtId="164" fontId="41" fillId="10" borderId="0" xfId="26" applyNumberFormat="1" applyFont="1" applyFill="1" applyBorder="1" applyAlignment="1" applyProtection="1">
      <alignment horizontal="center" vertical="center"/>
    </xf>
    <xf numFmtId="0" fontId="6" fillId="10" borderId="0" xfId="0" applyFont="1" applyFill="1" applyAlignment="1">
      <alignment vertical="center"/>
    </xf>
    <xf numFmtId="0" fontId="6" fillId="0" borderId="0" xfId="0" applyFont="1" applyAlignment="1">
      <alignment horizontal="justify" vertical="center"/>
    </xf>
    <xf numFmtId="2" fontId="6" fillId="0" borderId="0" xfId="0" applyNumberFormat="1" applyFont="1" applyAlignment="1">
      <alignment horizontal="center" vertical="center"/>
    </xf>
    <xf numFmtId="164" fontId="41" fillId="0" borderId="0" xfId="26" applyNumberFormat="1" applyFont="1" applyFill="1" applyBorder="1" applyAlignment="1" applyProtection="1">
      <alignment horizontal="center" vertical="center"/>
    </xf>
    <xf numFmtId="181" fontId="6" fillId="0" borderId="0" xfId="6" applyNumberFormat="1" applyFont="1" applyFill="1" applyBorder="1" applyAlignment="1">
      <alignment vertical="center"/>
    </xf>
    <xf numFmtId="181" fontId="6" fillId="0" borderId="0" xfId="6" applyNumberFormat="1" applyFont="1" applyFill="1" applyAlignment="1">
      <alignment vertical="center"/>
    </xf>
    <xf numFmtId="49" fontId="6" fillId="12" borderId="53" xfId="0" applyNumberFormat="1" applyFont="1" applyFill="1" applyBorder="1" applyAlignment="1">
      <alignment horizontal="center" vertical="center"/>
    </xf>
    <xf numFmtId="182" fontId="6" fillId="12" borderId="55" xfId="26" applyNumberFormat="1" applyFont="1" applyFill="1" applyBorder="1" applyAlignment="1" applyProtection="1">
      <alignment horizontal="center" vertical="center"/>
    </xf>
    <xf numFmtId="49" fontId="58" fillId="6" borderId="62" xfId="0" applyNumberFormat="1" applyFont="1" applyFill="1" applyBorder="1" applyAlignment="1">
      <alignment horizontal="center" vertical="center" wrapText="1"/>
    </xf>
    <xf numFmtId="49" fontId="58" fillId="6" borderId="63" xfId="0" applyNumberFormat="1" applyFont="1" applyFill="1" applyBorder="1" applyAlignment="1">
      <alignment horizontal="center" vertical="center" wrapText="1"/>
    </xf>
    <xf numFmtId="181" fontId="6" fillId="0" borderId="0" xfId="0" applyNumberFormat="1" applyFont="1" applyAlignment="1">
      <alignment vertical="center"/>
    </xf>
    <xf numFmtId="182" fontId="6" fillId="0" borderId="0" xfId="26" applyNumberFormat="1" applyFont="1" applyFill="1" applyAlignment="1">
      <alignment vertical="center"/>
    </xf>
    <xf numFmtId="165" fontId="6" fillId="0" borderId="0" xfId="6" applyNumberFormat="1" applyFont="1" applyFill="1" applyAlignment="1">
      <alignment vertical="center"/>
    </xf>
    <xf numFmtId="17" fontId="6" fillId="0" borderId="0" xfId="0" applyNumberFormat="1" applyFont="1" applyAlignment="1">
      <alignment vertical="center"/>
    </xf>
    <xf numFmtId="181" fontId="6" fillId="0" borderId="0" xfId="6" applyNumberFormat="1" applyFont="1" applyFill="1" applyAlignment="1">
      <alignment horizontal="justify" vertical="center"/>
    </xf>
    <xf numFmtId="182" fontId="41" fillId="0" borderId="0" xfId="26" applyNumberFormat="1" applyFont="1" applyFill="1" applyAlignment="1">
      <alignment vertical="center"/>
    </xf>
    <xf numFmtId="9" fontId="6" fillId="0" borderId="0" xfId="0" applyNumberFormat="1" applyFont="1" applyAlignment="1">
      <alignment horizontal="justify" vertical="center"/>
    </xf>
    <xf numFmtId="181" fontId="6" fillId="0" borderId="0" xfId="0" applyNumberFormat="1" applyFont="1" applyAlignment="1">
      <alignment horizontal="justify" vertical="center"/>
    </xf>
    <xf numFmtId="182" fontId="6" fillId="0" borderId="0" xfId="0" applyNumberFormat="1" applyFont="1" applyAlignment="1">
      <alignment vertical="center"/>
    </xf>
    <xf numFmtId="10" fontId="59" fillId="0" borderId="52" xfId="46" applyNumberFormat="1" applyFont="1" applyFill="1" applyBorder="1"/>
    <xf numFmtId="0" fontId="0" fillId="0" borderId="0" xfId="34" applyFont="1"/>
    <xf numFmtId="3" fontId="0" fillId="0" borderId="0" xfId="34" applyNumberFormat="1" applyFont="1"/>
    <xf numFmtId="180" fontId="0" fillId="0" borderId="0" xfId="6" applyNumberFormat="1" applyFont="1" applyBorder="1"/>
    <xf numFmtId="0" fontId="28" fillId="0" borderId="0" xfId="34" applyFont="1" applyAlignment="1">
      <alignment horizontal="right"/>
    </xf>
    <xf numFmtId="3" fontId="23" fillId="0" borderId="16" xfId="34" applyNumberFormat="1" applyFont="1" applyBorder="1"/>
    <xf numFmtId="0" fontId="28" fillId="0" borderId="0" xfId="34" applyFont="1"/>
    <xf numFmtId="3" fontId="22" fillId="0" borderId="0" xfId="34" applyNumberFormat="1" applyFont="1"/>
    <xf numFmtId="182" fontId="6" fillId="0" borderId="40" xfId="26" applyNumberFormat="1" applyFont="1" applyFill="1" applyBorder="1" applyAlignment="1">
      <alignment vertical="center"/>
    </xf>
    <xf numFmtId="182" fontId="6" fillId="7" borderId="56" xfId="0" applyNumberFormat="1" applyFont="1" applyFill="1" applyBorder="1" applyAlignment="1">
      <alignment vertical="center"/>
    </xf>
    <xf numFmtId="0" fontId="6" fillId="5" borderId="62" xfId="0" applyFont="1" applyFill="1" applyBorder="1" applyAlignment="1">
      <alignment vertical="center"/>
    </xf>
    <xf numFmtId="0" fontId="6" fillId="0" borderId="62" xfId="0" applyFont="1" applyBorder="1" applyAlignment="1">
      <alignment vertical="center"/>
    </xf>
    <xf numFmtId="0" fontId="41" fillId="6" borderId="50" xfId="0" applyFont="1" applyFill="1" applyBorder="1" applyAlignment="1">
      <alignment horizontal="center" vertical="center" wrapText="1"/>
    </xf>
    <xf numFmtId="0" fontId="41" fillId="4" borderId="50" xfId="0" applyFont="1" applyFill="1" applyBorder="1" applyAlignment="1">
      <alignment horizontal="center" vertical="center" wrapText="1"/>
    </xf>
    <xf numFmtId="0" fontId="46" fillId="5" borderId="50" xfId="0" applyFont="1" applyFill="1" applyBorder="1" applyAlignment="1">
      <alignment horizontal="center" vertical="center" wrapText="1"/>
    </xf>
    <xf numFmtId="0" fontId="46" fillId="4" borderId="50" xfId="0" applyFont="1" applyFill="1" applyBorder="1" applyAlignment="1">
      <alignment horizontal="center" vertical="center" wrapText="1"/>
    </xf>
    <xf numFmtId="0" fontId="0" fillId="0" borderId="27" xfId="34" applyFont="1" applyBorder="1"/>
    <xf numFmtId="3" fontId="0" fillId="0" borderId="29" xfId="34" applyNumberFormat="1" applyFont="1" applyBorder="1"/>
    <xf numFmtId="0" fontId="28" fillId="0" borderId="27" xfId="34" applyFont="1" applyBorder="1"/>
    <xf numFmtId="0" fontId="0" fillId="0" borderId="29" xfId="34" applyFont="1" applyBorder="1"/>
    <xf numFmtId="0" fontId="23" fillId="0" borderId="27" xfId="34" applyFont="1" applyBorder="1"/>
    <xf numFmtId="0" fontId="0" fillId="0" borderId="46" xfId="34" applyFont="1" applyBorder="1"/>
    <xf numFmtId="0" fontId="0" fillId="0" borderId="30" xfId="34" applyFont="1" applyBorder="1"/>
    <xf numFmtId="0" fontId="0" fillId="0" borderId="31" xfId="34" applyFont="1" applyBorder="1"/>
    <xf numFmtId="3" fontId="23" fillId="0" borderId="29" xfId="34" applyNumberFormat="1" applyFont="1" applyBorder="1"/>
    <xf numFmtId="3" fontId="22" fillId="0" borderId="29" xfId="34" applyNumberFormat="1" applyFont="1" applyBorder="1"/>
    <xf numFmtId="0" fontId="28" fillId="0" borderId="0" xfId="0" applyFont="1" applyAlignment="1">
      <alignment vertical="center"/>
    </xf>
    <xf numFmtId="3" fontId="0" fillId="0" borderId="30" xfId="0" applyNumberFormat="1" applyBorder="1" applyAlignment="1">
      <alignment vertical="center"/>
    </xf>
    <xf numFmtId="1" fontId="59" fillId="0" borderId="58" xfId="0" applyNumberFormat="1" applyFont="1" applyBorder="1" applyAlignment="1">
      <alignment horizontal="center" vertical="center"/>
    </xf>
    <xf numFmtId="0" fontId="56" fillId="0" borderId="0" xfId="0" applyFont="1" applyAlignment="1">
      <alignment horizontal="right" vertical="center"/>
    </xf>
    <xf numFmtId="0" fontId="56" fillId="0" borderId="0" xfId="0" applyFont="1" applyAlignment="1">
      <alignment vertical="center" wrapText="1"/>
    </xf>
    <xf numFmtId="3" fontId="0" fillId="0" borderId="58" xfId="0" applyNumberFormat="1" applyBorder="1" applyAlignment="1">
      <alignment vertical="center"/>
    </xf>
    <xf numFmtId="0" fontId="43" fillId="13" borderId="66" xfId="0" applyFont="1" applyFill="1" applyBorder="1" applyAlignment="1">
      <alignment horizontal="center" vertical="center" wrapText="1" shrinkToFit="1"/>
    </xf>
    <xf numFmtId="0" fontId="43" fillId="13" borderId="67" xfId="0" applyFont="1" applyFill="1" applyBorder="1" applyAlignment="1">
      <alignment horizontal="center" vertical="center" wrapText="1" shrinkToFit="1"/>
    </xf>
    <xf numFmtId="0" fontId="22" fillId="13" borderId="66" xfId="0" applyFont="1" applyFill="1" applyBorder="1"/>
    <xf numFmtId="0" fontId="22" fillId="13" borderId="67" xfId="0" applyFont="1" applyFill="1" applyBorder="1"/>
    <xf numFmtId="174" fontId="22" fillId="13" borderId="66" xfId="0" applyNumberFormat="1" applyFont="1" applyFill="1" applyBorder="1"/>
    <xf numFmtId="174" fontId="22" fillId="13" borderId="67" xfId="0" applyNumberFormat="1" applyFont="1" applyFill="1" applyBorder="1"/>
    <xf numFmtId="182" fontId="45" fillId="0" borderId="0" xfId="26" applyNumberFormat="1" applyFont="1" applyFill="1" applyBorder="1" applyAlignment="1">
      <alignment vertical="center"/>
    </xf>
    <xf numFmtId="182" fontId="57" fillId="0" borderId="0" xfId="26" applyNumberFormat="1" applyFont="1" applyFill="1" applyBorder="1" applyAlignment="1">
      <alignment vertical="center"/>
    </xf>
    <xf numFmtId="0" fontId="28" fillId="0" borderId="33" xfId="34" applyFont="1" applyBorder="1" applyAlignment="1">
      <alignment horizontal="center" vertical="center" wrapText="1"/>
    </xf>
    <xf numFmtId="0" fontId="28" fillId="0" borderId="68" xfId="34" applyFont="1" applyBorder="1" applyAlignment="1">
      <alignment horizontal="center" vertical="center"/>
    </xf>
    <xf numFmtId="3" fontId="23" fillId="0" borderId="69" xfId="34" applyNumberFormat="1" applyFont="1" applyBorder="1"/>
    <xf numFmtId="176" fontId="14" fillId="0" borderId="0" xfId="6" applyNumberFormat="1" applyBorder="1"/>
    <xf numFmtId="3" fontId="23" fillId="0" borderId="70" xfId="34" applyNumberFormat="1" applyFont="1" applyBorder="1"/>
    <xf numFmtId="3" fontId="0" fillId="0" borderId="52" xfId="0" applyNumberFormat="1" applyBorder="1" applyAlignment="1">
      <alignment horizontal="left" vertical="center" wrapText="1" shrinkToFit="1"/>
    </xf>
    <xf numFmtId="14" fontId="0" fillId="0" borderId="52" xfId="0" applyNumberFormat="1" applyBorder="1" applyAlignment="1">
      <alignment horizontal="center" vertical="center" wrapText="1" shrinkToFit="1"/>
    </xf>
    <xf numFmtId="3" fontId="0" fillId="0" borderId="52" xfId="0" applyNumberFormat="1" applyBorder="1" applyAlignment="1">
      <alignment horizontal="right" vertical="center" wrapText="1" shrinkToFit="1"/>
    </xf>
    <xf numFmtId="3" fontId="28" fillId="0" borderId="52" xfId="0" applyNumberFormat="1" applyFont="1" applyBorder="1" applyAlignment="1">
      <alignment vertical="center"/>
    </xf>
    <xf numFmtId="9" fontId="0" fillId="0" borderId="52" xfId="37" applyFont="1" applyBorder="1" applyAlignment="1">
      <alignment horizontal="center" vertical="center"/>
    </xf>
    <xf numFmtId="3" fontId="0" fillId="0" borderId="61" xfId="0" applyNumberFormat="1" applyBorder="1" applyAlignment="1">
      <alignment horizontal="left" vertical="center" wrapText="1" shrinkToFit="1"/>
    </xf>
    <xf numFmtId="3" fontId="0" fillId="0" borderId="62" xfId="0" applyNumberFormat="1" applyBorder="1" applyAlignment="1">
      <alignment horizontal="left" vertical="center" wrapText="1" shrinkToFit="1"/>
    </xf>
    <xf numFmtId="14" fontId="0" fillId="0" borderId="62" xfId="0" applyNumberFormat="1" applyBorder="1" applyAlignment="1">
      <alignment horizontal="center" vertical="center" wrapText="1" shrinkToFit="1"/>
    </xf>
    <xf numFmtId="3" fontId="0" fillId="0" borderId="62" xfId="0" applyNumberFormat="1" applyBorder="1" applyAlignment="1">
      <alignment horizontal="right" vertical="center" wrapText="1" shrinkToFit="1"/>
    </xf>
    <xf numFmtId="3" fontId="28" fillId="0" borderId="62" xfId="0" applyNumberFormat="1" applyFont="1" applyBorder="1" applyAlignment="1">
      <alignment vertical="center"/>
    </xf>
    <xf numFmtId="9" fontId="0" fillId="0" borderId="62" xfId="37" applyFont="1" applyBorder="1" applyAlignment="1">
      <alignment horizontal="center" vertical="center"/>
    </xf>
    <xf numFmtId="3" fontId="0" fillId="0" borderId="63" xfId="0" applyNumberFormat="1" applyBorder="1" applyAlignment="1">
      <alignment vertical="center"/>
    </xf>
    <xf numFmtId="3" fontId="0" fillId="0" borderId="57" xfId="0" applyNumberFormat="1" applyBorder="1" applyAlignment="1">
      <alignment horizontal="left" vertical="center" wrapText="1" shrinkToFit="1"/>
    </xf>
    <xf numFmtId="176" fontId="29" fillId="0" borderId="0" xfId="0" applyNumberFormat="1" applyFont="1"/>
    <xf numFmtId="184" fontId="56" fillId="0" borderId="43" xfId="0" applyNumberFormat="1" applyFont="1" applyBorder="1" applyAlignment="1">
      <alignment horizontal="center" vertical="center"/>
    </xf>
    <xf numFmtId="180" fontId="0" fillId="0" borderId="0" xfId="34" applyNumberFormat="1" applyFont="1"/>
    <xf numFmtId="3" fontId="14" fillId="0" borderId="0" xfId="34" applyNumberFormat="1"/>
    <xf numFmtId="180" fontId="56" fillId="0" borderId="0" xfId="6" applyNumberFormat="1" applyFont="1" applyFill="1" applyBorder="1"/>
    <xf numFmtId="181" fontId="6" fillId="0" borderId="0" xfId="0" applyNumberFormat="1" applyFont="1"/>
    <xf numFmtId="181" fontId="6" fillId="12" borderId="51" xfId="6" applyNumberFormat="1" applyFont="1" applyFill="1" applyBorder="1" applyAlignment="1" applyProtection="1">
      <alignment horizontal="center" vertical="center"/>
    </xf>
    <xf numFmtId="0" fontId="28" fillId="14" borderId="71" xfId="0" applyFont="1" applyFill="1" applyBorder="1" applyAlignment="1">
      <alignment vertical="center"/>
    </xf>
    <xf numFmtId="3" fontId="0" fillId="14" borderId="66" xfId="0" applyNumberFormat="1" applyFill="1" applyBorder="1" applyAlignment="1">
      <alignment vertical="center"/>
    </xf>
    <xf numFmtId="3" fontId="0" fillId="14" borderId="67" xfId="0" applyNumberFormat="1" applyFill="1" applyBorder="1" applyAlignment="1">
      <alignment vertical="center"/>
    </xf>
    <xf numFmtId="3" fontId="28" fillId="14" borderId="66" xfId="0" applyNumberFormat="1" applyFont="1" applyFill="1" applyBorder="1" applyAlignment="1">
      <alignment vertical="center"/>
    </xf>
    <xf numFmtId="3" fontId="28" fillId="14" borderId="67" xfId="0" applyNumberFormat="1" applyFont="1" applyFill="1" applyBorder="1" applyAlignment="1">
      <alignment vertical="center"/>
    </xf>
    <xf numFmtId="3" fontId="28" fillId="14" borderId="72" xfId="0" applyNumberFormat="1" applyFont="1" applyFill="1" applyBorder="1" applyAlignment="1">
      <alignment vertical="center"/>
    </xf>
    <xf numFmtId="0" fontId="28" fillId="14" borderId="71" xfId="0" applyFont="1" applyFill="1" applyBorder="1" applyAlignment="1">
      <alignment horizontal="center" vertical="center" wrapText="1" shrinkToFit="1"/>
    </xf>
    <xf numFmtId="0" fontId="28" fillId="14" borderId="66" xfId="0" applyFont="1" applyFill="1" applyBorder="1" applyAlignment="1">
      <alignment horizontal="center" vertical="center" wrapText="1" shrinkToFit="1"/>
    </xf>
    <xf numFmtId="0" fontId="28" fillId="14" borderId="67" xfId="0" applyFont="1" applyFill="1" applyBorder="1" applyAlignment="1">
      <alignment horizontal="center" vertical="center" wrapText="1" shrinkToFit="1"/>
    </xf>
    <xf numFmtId="0" fontId="28" fillId="14" borderId="72" xfId="0" applyFont="1" applyFill="1" applyBorder="1" applyAlignment="1">
      <alignment horizontal="center" vertical="center" wrapText="1" shrinkToFit="1"/>
    </xf>
    <xf numFmtId="0" fontId="59" fillId="15" borderId="52" xfId="0" applyFont="1" applyFill="1" applyBorder="1"/>
    <xf numFmtId="176" fontId="14" fillId="0" borderId="0" xfId="6" applyNumberFormat="1" applyFill="1" applyAlignment="1">
      <alignment vertical="center"/>
    </xf>
    <xf numFmtId="0" fontId="56" fillId="0" borderId="27" xfId="34" applyFont="1" applyBorder="1"/>
    <xf numFmtId="0" fontId="58" fillId="6" borderId="62" xfId="0" applyFont="1" applyFill="1" applyBorder="1" applyAlignment="1">
      <alignment horizontal="center" vertical="center" wrapText="1"/>
    </xf>
    <xf numFmtId="0" fontId="51" fillId="0" borderId="0" xfId="0" applyFont="1"/>
    <xf numFmtId="0" fontId="50" fillId="13" borderId="52" xfId="0" applyFont="1" applyFill="1" applyBorder="1" applyAlignment="1">
      <alignment horizontal="center" vertical="center" wrapText="1"/>
    </xf>
    <xf numFmtId="0" fontId="50" fillId="13" borderId="52" xfId="0" applyFont="1" applyFill="1" applyBorder="1" applyAlignment="1">
      <alignment horizontal="center" vertical="center"/>
    </xf>
    <xf numFmtId="0" fontId="51" fillId="0" borderId="0" xfId="0" applyFont="1" applyAlignment="1">
      <alignment horizontal="center"/>
    </xf>
    <xf numFmtId="49" fontId="50" fillId="13" borderId="52" xfId="0" applyNumberFormat="1" applyFont="1" applyFill="1" applyBorder="1" applyAlignment="1">
      <alignment horizontal="center" vertical="center" wrapText="1"/>
    </xf>
    <xf numFmtId="49" fontId="51" fillId="0" borderId="0" xfId="0" applyNumberFormat="1" applyFont="1"/>
    <xf numFmtId="0" fontId="64" fillId="0" borderId="52" xfId="0" applyFont="1" applyBorder="1" applyAlignment="1">
      <alignment horizontal="center"/>
    </xf>
    <xf numFmtId="0" fontId="52" fillId="0" borderId="0" xfId="4" applyFont="1" applyFill="1" applyBorder="1" applyAlignment="1" applyProtection="1">
      <alignment vertical="center" wrapText="1"/>
    </xf>
    <xf numFmtId="0" fontId="52" fillId="0" borderId="0" xfId="4" applyFont="1" applyAlignment="1" applyProtection="1"/>
    <xf numFmtId="0" fontId="64" fillId="16" borderId="52" xfId="0" applyFont="1" applyFill="1" applyBorder="1" applyAlignment="1">
      <alignment horizontal="center"/>
    </xf>
    <xf numFmtId="0" fontId="52" fillId="0" borderId="0" xfId="4" applyFont="1" applyAlignment="1" applyProtection="1">
      <alignment horizontal="center"/>
    </xf>
    <xf numFmtId="0" fontId="53" fillId="0" borderId="0" xfId="0" applyFont="1"/>
    <xf numFmtId="0" fontId="64" fillId="17" borderId="52" xfId="0" applyFont="1" applyFill="1" applyBorder="1" applyAlignment="1">
      <alignment horizontal="center"/>
    </xf>
    <xf numFmtId="0" fontId="64" fillId="18" borderId="52" xfId="0" applyFont="1" applyFill="1" applyBorder="1" applyAlignment="1">
      <alignment horizontal="center"/>
    </xf>
    <xf numFmtId="0" fontId="64" fillId="19" borderId="52" xfId="0" applyFont="1" applyFill="1" applyBorder="1" applyAlignment="1">
      <alignment horizontal="center"/>
    </xf>
    <xf numFmtId="0" fontId="65" fillId="0" borderId="52" xfId="0" applyFont="1" applyBorder="1" applyAlignment="1">
      <alignment horizontal="center" vertical="center"/>
    </xf>
    <xf numFmtId="0" fontId="65" fillId="0" borderId="52" xfId="0" applyFont="1" applyBorder="1" applyAlignment="1">
      <alignment vertical="top"/>
    </xf>
    <xf numFmtId="166" fontId="64" fillId="0" borderId="52" xfId="0" applyNumberFormat="1" applyFont="1" applyBorder="1"/>
    <xf numFmtId="14" fontId="65" fillId="0" borderId="52" xfId="0" applyNumberFormat="1" applyFont="1" applyBorder="1" applyAlignment="1">
      <alignment horizontal="center" vertical="top"/>
    </xf>
    <xf numFmtId="0" fontId="53" fillId="0" borderId="52" xfId="0" applyFont="1" applyBorder="1" applyAlignment="1">
      <alignment horizontal="center"/>
    </xf>
    <xf numFmtId="0" fontId="53" fillId="0" borderId="0" xfId="0" applyFont="1" applyAlignment="1">
      <alignment horizontal="center"/>
    </xf>
    <xf numFmtId="0" fontId="64" fillId="20" borderId="52" xfId="0" applyFont="1" applyFill="1" applyBorder="1" applyAlignment="1">
      <alignment horizontal="center"/>
    </xf>
    <xf numFmtId="0" fontId="61" fillId="0" borderId="52" xfId="0" applyFont="1" applyBorder="1" applyAlignment="1">
      <alignment horizontal="center" vertical="center" wrapText="1"/>
    </xf>
    <xf numFmtId="0" fontId="62" fillId="0" borderId="42" xfId="0" applyFont="1" applyBorder="1" applyAlignment="1">
      <alignment horizontal="center" vertical="center" wrapText="1"/>
    </xf>
    <xf numFmtId="0" fontId="62" fillId="0" borderId="43" xfId="0" applyFont="1" applyBorder="1" applyAlignment="1">
      <alignment horizontal="center" vertical="center"/>
    </xf>
    <xf numFmtId="0" fontId="62" fillId="0" borderId="44" xfId="0" applyFont="1" applyBorder="1" applyAlignment="1">
      <alignment horizontal="center" vertical="center"/>
    </xf>
    <xf numFmtId="0" fontId="62" fillId="0" borderId="37" xfId="0" applyFont="1" applyBorder="1" applyAlignment="1">
      <alignment horizontal="center" vertical="center"/>
    </xf>
    <xf numFmtId="0" fontId="62" fillId="0" borderId="0" xfId="0" applyFont="1" applyAlignment="1">
      <alignment horizontal="center" vertical="center"/>
    </xf>
    <xf numFmtId="0" fontId="62" fillId="0" borderId="38" xfId="0" applyFont="1" applyBorder="1" applyAlignment="1">
      <alignment horizontal="center" vertical="center"/>
    </xf>
    <xf numFmtId="0" fontId="62" fillId="0" borderId="40" xfId="0" applyFont="1" applyBorder="1" applyAlignment="1">
      <alignment horizontal="center" vertical="center"/>
    </xf>
    <xf numFmtId="0" fontId="62" fillId="0" borderId="33" xfId="0" applyFont="1" applyBorder="1" applyAlignment="1">
      <alignment horizontal="center" vertical="center"/>
    </xf>
    <xf numFmtId="0" fontId="62" fillId="0" borderId="41" xfId="0" applyFont="1" applyBorder="1" applyAlignment="1">
      <alignment horizontal="center" vertical="center"/>
    </xf>
    <xf numFmtId="0" fontId="63" fillId="0" borderId="33" xfId="0" applyFont="1" applyBorder="1" applyAlignment="1">
      <alignment horizontal="left" vertical="center" wrapText="1"/>
    </xf>
    <xf numFmtId="0" fontId="5" fillId="0" borderId="12" xfId="0" applyFont="1" applyBorder="1" applyAlignment="1">
      <alignment horizontal="center" vertical="center" wrapText="1"/>
    </xf>
    <xf numFmtId="0" fontId="13" fillId="0" borderId="71" xfId="0" applyFont="1" applyBorder="1" applyAlignment="1">
      <alignment horizontal="center" vertical="justify"/>
    </xf>
    <xf numFmtId="0" fontId="13" fillId="0" borderId="67" xfId="0" applyFont="1" applyBorder="1" applyAlignment="1">
      <alignment horizontal="center" vertical="justify"/>
    </xf>
    <xf numFmtId="0" fontId="13" fillId="0" borderId="72" xfId="0" applyFont="1" applyBorder="1" applyAlignment="1">
      <alignment horizontal="center" vertical="justify"/>
    </xf>
    <xf numFmtId="0" fontId="21" fillId="0" borderId="0" xfId="0" applyFont="1" applyAlignment="1">
      <alignment horizontal="center"/>
    </xf>
    <xf numFmtId="0" fontId="24" fillId="0" borderId="0" xfId="0" applyFont="1" applyAlignment="1">
      <alignment horizontal="center"/>
    </xf>
    <xf numFmtId="0" fontId="25" fillId="0" borderId="0" xfId="0" applyFont="1" applyAlignment="1">
      <alignment horizontal="center"/>
    </xf>
    <xf numFmtId="0" fontId="22" fillId="0" borderId="0" xfId="0" applyFont="1" applyAlignment="1">
      <alignment horizontal="center"/>
    </xf>
    <xf numFmtId="0" fontId="35" fillId="0" borderId="0" xfId="0" applyFont="1" applyAlignment="1">
      <alignment horizontal="justify" wrapText="1"/>
    </xf>
    <xf numFmtId="0" fontId="0" fillId="0" borderId="0" xfId="0" applyAlignment="1">
      <alignment wrapText="1"/>
    </xf>
    <xf numFmtId="0" fontId="22" fillId="14" borderId="24" xfId="0" applyFont="1" applyFill="1" applyBorder="1" applyAlignment="1">
      <alignment horizontal="center" vertical="center" wrapText="1"/>
    </xf>
    <xf numFmtId="0" fontId="22" fillId="14" borderId="25" xfId="0" applyFont="1" applyFill="1" applyBorder="1" applyAlignment="1">
      <alignment horizontal="center" vertical="center" wrapText="1"/>
    </xf>
    <xf numFmtId="0" fontId="22" fillId="14" borderId="26" xfId="0" applyFont="1" applyFill="1" applyBorder="1" applyAlignment="1">
      <alignment horizontal="center" vertical="center" wrapText="1"/>
    </xf>
    <xf numFmtId="0" fontId="28" fillId="0" borderId="0" xfId="0" applyFont="1" applyAlignment="1">
      <alignment horizontal="center" vertical="center" wrapText="1"/>
    </xf>
    <xf numFmtId="0" fontId="28" fillId="0" borderId="12" xfId="0" applyFont="1" applyBorder="1" applyAlignment="1">
      <alignment horizontal="center" vertical="center" wrapText="1"/>
    </xf>
    <xf numFmtId="0" fontId="28" fillId="0" borderId="29" xfId="0" applyFont="1" applyBorder="1" applyAlignment="1">
      <alignment horizontal="center" vertical="center" wrapText="1"/>
    </xf>
    <xf numFmtId="0" fontId="0" fillId="0" borderId="0" xfId="0" applyAlignment="1">
      <alignment horizontal="left" wrapText="1"/>
    </xf>
    <xf numFmtId="0" fontId="35" fillId="0" borderId="0" xfId="0" applyFont="1" applyAlignment="1">
      <alignment horizontal="left" wrapText="1"/>
    </xf>
    <xf numFmtId="0" fontId="22" fillId="0" borderId="27" xfId="0" applyFont="1" applyBorder="1" applyAlignment="1">
      <alignment horizontal="center" vertical="center"/>
    </xf>
    <xf numFmtId="0" fontId="22" fillId="0" borderId="0" xfId="0" applyFont="1" applyAlignment="1">
      <alignment horizontal="center" vertical="center"/>
    </xf>
    <xf numFmtId="0" fontId="22" fillId="0" borderId="29" xfId="0" applyFont="1" applyBorder="1" applyAlignment="1">
      <alignment horizontal="center" vertical="center"/>
    </xf>
    <xf numFmtId="0" fontId="39" fillId="0" borderId="24" xfId="0" applyFont="1" applyBorder="1" applyAlignment="1">
      <alignment horizontal="center" vertical="center"/>
    </xf>
    <xf numFmtId="0" fontId="39" fillId="0" borderId="25" xfId="0" applyFont="1" applyBorder="1" applyAlignment="1">
      <alignment horizontal="center" vertical="center"/>
    </xf>
    <xf numFmtId="0" fontId="39" fillId="0" borderId="26" xfId="0" applyFont="1" applyBorder="1" applyAlignment="1">
      <alignment horizontal="center" vertical="center"/>
    </xf>
    <xf numFmtId="0" fontId="39" fillId="0" borderId="27" xfId="0" applyFont="1" applyBorder="1" applyAlignment="1">
      <alignment horizontal="center" vertical="center"/>
    </xf>
    <xf numFmtId="0" fontId="39" fillId="0" borderId="0" xfId="0" applyFont="1" applyAlignment="1">
      <alignment horizontal="center" vertical="center"/>
    </xf>
    <xf numFmtId="0" fontId="39" fillId="0" borderId="29" xfId="0" applyFont="1" applyBorder="1" applyAlignment="1">
      <alignment horizontal="center" vertical="center"/>
    </xf>
    <xf numFmtId="0" fontId="29" fillId="0" borderId="27" xfId="0" applyFont="1" applyBorder="1" applyAlignment="1">
      <alignment horizontal="center" vertical="center"/>
    </xf>
    <xf numFmtId="0" fontId="29" fillId="0" borderId="0" xfId="0" applyFont="1" applyAlignment="1">
      <alignment horizontal="center" vertical="center"/>
    </xf>
    <xf numFmtId="0" fontId="29" fillId="0" borderId="29" xfId="0" applyFont="1" applyBorder="1" applyAlignment="1">
      <alignment horizontal="center" vertical="center"/>
    </xf>
    <xf numFmtId="0" fontId="49" fillId="0" borderId="27" xfId="34" applyFont="1" applyBorder="1" applyAlignment="1">
      <alignment horizontal="center" vertical="center" wrapText="1"/>
    </xf>
    <xf numFmtId="0" fontId="49" fillId="0" borderId="0" xfId="34" applyFont="1" applyAlignment="1">
      <alignment horizontal="center" vertical="center" wrapText="1"/>
    </xf>
    <xf numFmtId="0" fontId="49" fillId="0" borderId="14" xfId="34" applyFont="1" applyBorder="1" applyAlignment="1">
      <alignment horizontal="center" vertical="center" wrapText="1"/>
    </xf>
    <xf numFmtId="0" fontId="60" fillId="0" borderId="76" xfId="34" applyFont="1" applyBorder="1" applyAlignment="1">
      <alignment horizontal="center"/>
    </xf>
    <xf numFmtId="0" fontId="60" fillId="0" borderId="77" xfId="34" applyFont="1" applyBorder="1" applyAlignment="1">
      <alignment horizontal="center"/>
    </xf>
    <xf numFmtId="0" fontId="60" fillId="0" borderId="78" xfId="34" applyFont="1" applyBorder="1" applyAlignment="1">
      <alignment horizontal="center"/>
    </xf>
    <xf numFmtId="0" fontId="60" fillId="0" borderId="27" xfId="34" applyFont="1" applyBorder="1" applyAlignment="1">
      <alignment horizontal="center"/>
    </xf>
    <xf numFmtId="0" fontId="60" fillId="0" borderId="0" xfId="34" applyFont="1" applyAlignment="1">
      <alignment horizontal="center"/>
    </xf>
    <xf numFmtId="0" fontId="60" fillId="0" borderId="29" xfId="34" applyFont="1" applyBorder="1" applyAlignment="1">
      <alignment horizontal="center"/>
    </xf>
    <xf numFmtId="0" fontId="14" fillId="0" borderId="73" xfId="34" applyBorder="1" applyAlignment="1">
      <alignment horizontal="center"/>
    </xf>
    <xf numFmtId="0" fontId="14" fillId="0" borderId="33" xfId="34" applyBorder="1" applyAlignment="1">
      <alignment horizontal="center"/>
    </xf>
    <xf numFmtId="0" fontId="56" fillId="0" borderId="33" xfId="34" applyFont="1" applyBorder="1" applyAlignment="1">
      <alignment horizontal="center"/>
    </xf>
    <xf numFmtId="0" fontId="56" fillId="0" borderId="68" xfId="34" applyFont="1" applyBorder="1" applyAlignment="1">
      <alignment horizontal="center"/>
    </xf>
    <xf numFmtId="0" fontId="14" fillId="0" borderId="74" xfId="34" applyBorder="1" applyAlignment="1">
      <alignment horizontal="center"/>
    </xf>
    <xf numFmtId="0" fontId="14" fillId="0" borderId="43" xfId="34" applyBorder="1" applyAlignment="1">
      <alignment horizontal="center"/>
    </xf>
    <xf numFmtId="0" fontId="14" fillId="0" borderId="75" xfId="34" applyBorder="1" applyAlignment="1">
      <alignment horizontal="center"/>
    </xf>
    <xf numFmtId="0" fontId="42" fillId="9" borderId="27" xfId="34" applyFont="1" applyFill="1" applyBorder="1" applyAlignment="1">
      <alignment horizontal="center"/>
    </xf>
    <xf numFmtId="0" fontId="42" fillId="9" borderId="0" xfId="34" applyFont="1" applyFill="1" applyAlignment="1">
      <alignment horizontal="center"/>
    </xf>
    <xf numFmtId="0" fontId="42" fillId="9" borderId="29" xfId="34" applyFont="1" applyFill="1" applyBorder="1" applyAlignment="1">
      <alignment horizontal="center"/>
    </xf>
    <xf numFmtId="0" fontId="14" fillId="9" borderId="73" xfId="34" applyFill="1" applyBorder="1" applyAlignment="1">
      <alignment horizontal="center"/>
    </xf>
    <xf numFmtId="0" fontId="14" fillId="9" borderId="33" xfId="34" applyFill="1" applyBorder="1" applyAlignment="1">
      <alignment horizontal="center"/>
    </xf>
    <xf numFmtId="0" fontId="48" fillId="0" borderId="24" xfId="34" applyFont="1" applyBorder="1" applyAlignment="1">
      <alignment horizontal="center" vertical="center" wrapText="1"/>
    </xf>
    <xf numFmtId="0" fontId="48" fillId="0" borderId="25" xfId="34" applyFont="1" applyBorder="1" applyAlignment="1">
      <alignment horizontal="center" vertical="center" wrapText="1"/>
    </xf>
    <xf numFmtId="0" fontId="48" fillId="0" borderId="26" xfId="34" applyFont="1" applyBorder="1" applyAlignment="1">
      <alignment horizontal="center" vertical="center" wrapText="1"/>
    </xf>
    <xf numFmtId="0" fontId="48" fillId="0" borderId="27" xfId="34" applyFont="1" applyBorder="1" applyAlignment="1">
      <alignment horizontal="center" vertical="center" wrapText="1"/>
    </xf>
    <xf numFmtId="0" fontId="48" fillId="0" borderId="0" xfId="34" applyFont="1" applyAlignment="1">
      <alignment horizontal="center" vertical="center" wrapText="1"/>
    </xf>
    <xf numFmtId="0" fontId="48" fillId="0" borderId="29" xfId="34" applyFont="1" applyBorder="1" applyAlignment="1">
      <alignment horizontal="center" vertical="center" wrapText="1"/>
    </xf>
    <xf numFmtId="0" fontId="43" fillId="0" borderId="76" xfId="34" applyFont="1" applyBorder="1" applyAlignment="1">
      <alignment horizontal="center"/>
    </xf>
    <xf numFmtId="0" fontId="43" fillId="0" borderId="77" xfId="34" applyFont="1" applyBorder="1" applyAlignment="1">
      <alignment horizontal="center"/>
    </xf>
    <xf numFmtId="0" fontId="43" fillId="0" borderId="78" xfId="34" applyFont="1" applyBorder="1" applyAlignment="1">
      <alignment horizontal="center"/>
    </xf>
    <xf numFmtId="0" fontId="43" fillId="9" borderId="76" xfId="34" applyFont="1" applyFill="1" applyBorder="1" applyAlignment="1">
      <alignment horizontal="center"/>
    </xf>
    <xf numFmtId="0" fontId="43" fillId="9" borderId="77" xfId="34" applyFont="1" applyFill="1" applyBorder="1" applyAlignment="1">
      <alignment horizontal="center"/>
    </xf>
    <xf numFmtId="0" fontId="43" fillId="9" borderId="78" xfId="34" applyFont="1" applyFill="1" applyBorder="1" applyAlignment="1">
      <alignment horizontal="center"/>
    </xf>
    <xf numFmtId="0" fontId="43" fillId="0" borderId="27" xfId="34" applyFont="1" applyBorder="1" applyAlignment="1">
      <alignment horizontal="center"/>
    </xf>
    <xf numFmtId="0" fontId="43" fillId="0" borderId="0" xfId="34" applyFont="1" applyAlignment="1">
      <alignment horizontal="center"/>
    </xf>
    <xf numFmtId="0" fontId="43" fillId="0" borderId="29" xfId="34" applyFont="1" applyBorder="1" applyAlignment="1">
      <alignment horizontal="center"/>
    </xf>
    <xf numFmtId="0" fontId="42" fillId="9" borderId="33" xfId="34" applyFont="1" applyFill="1" applyBorder="1" applyAlignment="1">
      <alignment horizontal="center"/>
    </xf>
    <xf numFmtId="0" fontId="42" fillId="9" borderId="68" xfId="34" applyFont="1" applyFill="1" applyBorder="1" applyAlignment="1">
      <alignment horizontal="center"/>
    </xf>
    <xf numFmtId="3" fontId="22" fillId="0" borderId="0" xfId="34" applyNumberFormat="1" applyFont="1" applyAlignment="1">
      <alignment horizontal="center"/>
    </xf>
    <xf numFmtId="3" fontId="22" fillId="0" borderId="29" xfId="34" applyNumberFormat="1" applyFont="1" applyBorder="1" applyAlignment="1">
      <alignment horizontal="center"/>
    </xf>
    <xf numFmtId="0" fontId="0" fillId="0" borderId="74" xfId="34" applyFont="1" applyBorder="1" applyAlignment="1">
      <alignment horizontal="center"/>
    </xf>
    <xf numFmtId="0" fontId="0" fillId="0" borderId="43" xfId="34" applyFont="1" applyBorder="1" applyAlignment="1">
      <alignment horizontal="center"/>
    </xf>
    <xf numFmtId="0" fontId="0" fillId="0" borderId="75" xfId="34" applyFont="1" applyBorder="1" applyAlignment="1">
      <alignment horizontal="center"/>
    </xf>
    <xf numFmtId="0" fontId="49" fillId="0" borderId="27" xfId="34" applyFont="1" applyBorder="1" applyAlignment="1">
      <alignment horizontal="left" vertical="center" wrapText="1"/>
    </xf>
    <xf numFmtId="0" fontId="49" fillId="0" borderId="0" xfId="34" applyFont="1" applyAlignment="1">
      <alignment horizontal="left" vertical="center" wrapText="1"/>
    </xf>
    <xf numFmtId="0" fontId="28" fillId="0" borderId="0" xfId="34" applyFont="1" applyAlignment="1">
      <alignment horizontal="center" vertical="center" wrapText="1"/>
    </xf>
    <xf numFmtId="0" fontId="28" fillId="0" borderId="33" xfId="34" applyFont="1" applyBorder="1" applyAlignment="1">
      <alignment horizontal="center" vertical="center" wrapText="1"/>
    </xf>
    <xf numFmtId="0" fontId="28" fillId="0" borderId="29" xfId="34" applyFont="1" applyBorder="1" applyAlignment="1">
      <alignment horizontal="center" vertical="center"/>
    </xf>
    <xf numFmtId="0" fontId="28" fillId="0" borderId="68" xfId="34" applyFont="1" applyBorder="1" applyAlignment="1">
      <alignment horizontal="center" vertical="center"/>
    </xf>
    <xf numFmtId="0" fontId="60" fillId="9" borderId="27" xfId="34" applyFont="1" applyFill="1" applyBorder="1" applyAlignment="1">
      <alignment horizontal="center"/>
    </xf>
    <xf numFmtId="0" fontId="60" fillId="9" borderId="0" xfId="34" applyFont="1" applyFill="1" applyAlignment="1">
      <alignment horizontal="center"/>
    </xf>
    <xf numFmtId="0" fontId="60" fillId="9" borderId="29" xfId="34" applyFont="1" applyFill="1" applyBorder="1" applyAlignment="1">
      <alignment horizontal="center"/>
    </xf>
    <xf numFmtId="0" fontId="56" fillId="9" borderId="33" xfId="34" applyFont="1" applyFill="1" applyBorder="1" applyAlignment="1">
      <alignment horizontal="center"/>
    </xf>
    <xf numFmtId="0" fontId="56" fillId="9" borderId="68" xfId="34" applyFont="1" applyFill="1" applyBorder="1" applyAlignment="1">
      <alignment horizontal="center"/>
    </xf>
    <xf numFmtId="0" fontId="60" fillId="9" borderId="76" xfId="34" applyFont="1" applyFill="1" applyBorder="1" applyAlignment="1">
      <alignment horizontal="center"/>
    </xf>
    <xf numFmtId="0" fontId="60" fillId="9" borderId="77" xfId="34" applyFont="1" applyFill="1" applyBorder="1" applyAlignment="1">
      <alignment horizontal="center"/>
    </xf>
    <xf numFmtId="0" fontId="60" fillId="9" borderId="78" xfId="34" applyFont="1" applyFill="1" applyBorder="1" applyAlignment="1">
      <alignment horizontal="center"/>
    </xf>
    <xf numFmtId="0" fontId="42" fillId="0" borderId="27" xfId="34" applyFont="1" applyBorder="1" applyAlignment="1">
      <alignment horizontal="center"/>
    </xf>
    <xf numFmtId="0" fontId="42" fillId="0" borderId="0" xfId="34" applyFont="1" applyAlignment="1">
      <alignment horizontal="center"/>
    </xf>
    <xf numFmtId="0" fontId="42" fillId="0" borderId="29" xfId="34" applyFont="1" applyBorder="1" applyAlignment="1">
      <alignment horizontal="center"/>
    </xf>
    <xf numFmtId="0" fontId="43" fillId="9" borderId="27" xfId="34" applyFont="1" applyFill="1" applyBorder="1" applyAlignment="1">
      <alignment horizontal="center"/>
    </xf>
    <xf numFmtId="0" fontId="43" fillId="9" borderId="0" xfId="34" applyFont="1" applyFill="1" applyAlignment="1">
      <alignment horizontal="center"/>
    </xf>
    <xf numFmtId="0" fontId="43" fillId="9" borderId="29" xfId="34" applyFont="1" applyFill="1" applyBorder="1" applyAlignment="1">
      <alignment horizontal="center"/>
    </xf>
    <xf numFmtId="0" fontId="0" fillId="0" borderId="73" xfId="34" applyFont="1" applyBorder="1" applyAlignment="1">
      <alignment horizontal="center"/>
    </xf>
    <xf numFmtId="0" fontId="42" fillId="0" borderId="33" xfId="34" applyFont="1" applyBorder="1" applyAlignment="1">
      <alignment horizontal="center"/>
    </xf>
    <xf numFmtId="0" fontId="42" fillId="0" borderId="68" xfId="34" applyFont="1" applyBorder="1" applyAlignment="1">
      <alignment horizontal="center"/>
    </xf>
    <xf numFmtId="0" fontId="14" fillId="9" borderId="74" xfId="34" applyFill="1" applyBorder="1" applyAlignment="1">
      <alignment horizontal="center"/>
    </xf>
    <xf numFmtId="0" fontId="14" fillId="9" borderId="43" xfId="34" applyFill="1" applyBorder="1" applyAlignment="1">
      <alignment horizontal="center"/>
    </xf>
    <xf numFmtId="0" fontId="14" fillId="9" borderId="75" xfId="34" applyFill="1" applyBorder="1" applyAlignment="1">
      <alignment horizontal="center"/>
    </xf>
    <xf numFmtId="0" fontId="22" fillId="13" borderId="53" xfId="0" applyFont="1" applyFill="1" applyBorder="1" applyAlignment="1">
      <alignment horizontal="center" vertical="center" wrapText="1"/>
    </xf>
    <xf numFmtId="0" fontId="22" fillId="13" borderId="54" xfId="0" applyFont="1" applyFill="1" applyBorder="1" applyAlignment="1">
      <alignment horizontal="center" vertical="center" wrapText="1"/>
    </xf>
    <xf numFmtId="0" fontId="22" fillId="13" borderId="55" xfId="0" applyFont="1" applyFill="1" applyBorder="1" applyAlignment="1">
      <alignment horizontal="center" vertical="center" wrapText="1"/>
    </xf>
    <xf numFmtId="0" fontId="22" fillId="0" borderId="0" xfId="0" applyFont="1" applyAlignment="1">
      <alignment horizontal="center" vertical="center" wrapText="1"/>
    </xf>
    <xf numFmtId="0" fontId="22" fillId="0" borderId="29" xfId="0" applyFont="1" applyBorder="1" applyAlignment="1">
      <alignment horizontal="center" vertical="center" wrapText="1"/>
    </xf>
    <xf numFmtId="0" fontId="23" fillId="0" borderId="24" xfId="0" applyFont="1" applyBorder="1" applyAlignment="1">
      <alignment horizontal="center" vertical="center" wrapText="1"/>
    </xf>
    <xf numFmtId="0" fontId="23" fillId="0" borderId="25" xfId="0" applyFont="1" applyBorder="1" applyAlignment="1">
      <alignment horizontal="center" vertical="center" wrapText="1"/>
    </xf>
    <xf numFmtId="0" fontId="23" fillId="0" borderId="27" xfId="0" applyFont="1" applyBorder="1" applyAlignment="1">
      <alignment horizontal="center" vertical="center" wrapText="1"/>
    </xf>
    <xf numFmtId="0" fontId="23" fillId="0" borderId="0" xfId="0" applyFont="1" applyAlignment="1">
      <alignment horizontal="center" vertical="center" wrapText="1"/>
    </xf>
    <xf numFmtId="0" fontId="29" fillId="0" borderId="27" xfId="0" applyFont="1" applyBorder="1" applyAlignment="1">
      <alignment horizontal="center" vertical="center" wrapText="1"/>
    </xf>
    <xf numFmtId="0" fontId="29" fillId="0" borderId="0" xfId="0" applyFont="1" applyAlignment="1">
      <alignment horizontal="center" vertical="center" wrapText="1"/>
    </xf>
    <xf numFmtId="0" fontId="29" fillId="0" borderId="29" xfId="0" applyFont="1" applyBorder="1" applyAlignment="1">
      <alignment horizontal="center" vertical="center" wrapText="1"/>
    </xf>
    <xf numFmtId="0" fontId="22" fillId="0" borderId="27" xfId="0" applyFont="1" applyBorder="1" applyAlignment="1">
      <alignment horizontal="center" vertical="center" wrapText="1"/>
    </xf>
    <xf numFmtId="0" fontId="45" fillId="4" borderId="62" xfId="0" applyFont="1" applyFill="1" applyBorder="1" applyAlignment="1">
      <alignment horizontal="center" vertical="center"/>
    </xf>
    <xf numFmtId="181" fontId="6" fillId="0" borderId="24" xfId="6" applyNumberFormat="1" applyFont="1" applyFill="1" applyBorder="1" applyAlignment="1">
      <alignment horizontal="center" vertical="center"/>
    </xf>
    <xf numFmtId="181" fontId="6" fillId="0" borderId="25" xfId="6" applyNumberFormat="1" applyFont="1" applyFill="1" applyBorder="1" applyAlignment="1">
      <alignment horizontal="center" vertical="center"/>
    </xf>
    <xf numFmtId="181" fontId="6" fillId="5" borderId="25" xfId="6" applyNumberFormat="1" applyFont="1" applyFill="1" applyBorder="1" applyAlignment="1">
      <alignment horizontal="center" vertical="center"/>
    </xf>
    <xf numFmtId="181" fontId="6" fillId="0" borderId="26" xfId="6" applyNumberFormat="1" applyFont="1" applyFill="1" applyBorder="1" applyAlignment="1">
      <alignment horizontal="center" vertical="center"/>
    </xf>
    <xf numFmtId="181" fontId="41" fillId="0" borderId="61" xfId="6" applyNumberFormat="1" applyFont="1" applyFill="1" applyBorder="1" applyAlignment="1">
      <alignment horizontal="center" vertical="center" wrapText="1"/>
    </xf>
    <xf numFmtId="181" fontId="41" fillId="0" borderId="59" xfId="6" applyNumberFormat="1" applyFont="1" applyFill="1" applyBorder="1" applyAlignment="1">
      <alignment horizontal="center" vertical="center" wrapText="1"/>
    </xf>
    <xf numFmtId="181" fontId="41" fillId="0" borderId="62" xfId="6" applyNumberFormat="1" applyFont="1" applyFill="1" applyBorder="1" applyAlignment="1">
      <alignment horizontal="center" vertical="center" wrapText="1"/>
    </xf>
    <xf numFmtId="181" fontId="41" fillId="0" borderId="50" xfId="6" applyNumberFormat="1" applyFont="1" applyFill="1" applyBorder="1" applyAlignment="1">
      <alignment horizontal="center" vertical="center" wrapText="1"/>
    </xf>
    <xf numFmtId="0" fontId="41" fillId="0" borderId="62" xfId="0" applyFont="1" applyBorder="1" applyAlignment="1">
      <alignment horizontal="center" vertical="center" wrapText="1"/>
    </xf>
    <xf numFmtId="0" fontId="41" fillId="0" borderId="50" xfId="0" applyFont="1" applyBorder="1" applyAlignment="1">
      <alignment horizontal="center" vertical="center" wrapText="1"/>
    </xf>
    <xf numFmtId="49" fontId="41" fillId="0" borderId="62" xfId="0" applyNumberFormat="1" applyFont="1" applyBorder="1" applyAlignment="1">
      <alignment horizontal="center" vertical="center" wrapText="1"/>
    </xf>
    <xf numFmtId="49" fontId="41" fillId="0" borderId="50" xfId="0" applyNumberFormat="1" applyFont="1" applyBorder="1" applyAlignment="1">
      <alignment horizontal="center" vertical="center" wrapText="1"/>
    </xf>
    <xf numFmtId="0" fontId="41" fillId="7" borderId="63" xfId="0" applyFont="1" applyFill="1" applyBorder="1" applyAlignment="1">
      <alignment horizontal="center" vertical="center"/>
    </xf>
    <xf numFmtId="0" fontId="41" fillId="7" borderId="60" xfId="0" applyFont="1" applyFill="1" applyBorder="1" applyAlignment="1">
      <alignment horizontal="center" vertical="center"/>
    </xf>
    <xf numFmtId="0" fontId="41" fillId="11" borderId="25" xfId="0" applyFont="1" applyFill="1" applyBorder="1" applyAlignment="1">
      <alignment horizontal="center" vertical="center" wrapText="1"/>
    </xf>
    <xf numFmtId="0" fontId="41" fillId="11" borderId="25" xfId="0" applyFont="1" applyFill="1" applyBorder="1" applyAlignment="1">
      <alignment horizontal="center"/>
    </xf>
    <xf numFmtId="0" fontId="41" fillId="11" borderId="79" xfId="0" applyFont="1" applyFill="1" applyBorder="1" applyAlignment="1">
      <alignment horizontal="center"/>
    </xf>
    <xf numFmtId="0" fontId="41" fillId="11" borderId="37" xfId="0" applyFont="1" applyFill="1" applyBorder="1" applyAlignment="1">
      <alignment horizontal="center"/>
    </xf>
    <xf numFmtId="0" fontId="41" fillId="11" borderId="38" xfId="0" applyFont="1" applyFill="1" applyBorder="1" applyAlignment="1">
      <alignment horizontal="center"/>
    </xf>
    <xf numFmtId="0" fontId="41" fillId="11" borderId="80" xfId="0" applyFont="1" applyFill="1" applyBorder="1" applyAlignment="1">
      <alignment horizontal="center"/>
    </xf>
    <xf numFmtId="0" fontId="41" fillId="11" borderId="81" xfId="0" applyFont="1" applyFill="1" applyBorder="1" applyAlignment="1">
      <alignment horizontal="center"/>
    </xf>
    <xf numFmtId="0" fontId="41" fillId="11" borderId="82" xfId="0" applyFont="1" applyFill="1" applyBorder="1" applyAlignment="1">
      <alignment horizontal="center" vertical="center"/>
    </xf>
    <xf numFmtId="0" fontId="41" fillId="11" borderId="25" xfId="0" applyFont="1" applyFill="1" applyBorder="1" applyAlignment="1">
      <alignment horizontal="center" vertical="center"/>
    </xf>
    <xf numFmtId="0" fontId="41" fillId="11" borderId="26" xfId="0" applyFont="1" applyFill="1" applyBorder="1" applyAlignment="1">
      <alignment horizontal="center" vertical="center"/>
    </xf>
    <xf numFmtId="0" fontId="41" fillId="11" borderId="40" xfId="0" applyFont="1" applyFill="1" applyBorder="1" applyAlignment="1">
      <alignment horizontal="center" vertical="center"/>
    </xf>
    <xf numFmtId="0" fontId="41" fillId="11" borderId="33" xfId="0" applyFont="1" applyFill="1" applyBorder="1" applyAlignment="1">
      <alignment horizontal="center" vertical="center"/>
    </xf>
    <xf numFmtId="0" fontId="41" fillId="11" borderId="68" xfId="0" applyFont="1" applyFill="1" applyBorder="1" applyAlignment="1">
      <alignment horizontal="center" vertical="center"/>
    </xf>
    <xf numFmtId="49" fontId="41" fillId="8" borderId="62" xfId="0" applyNumberFormat="1" applyFont="1" applyFill="1" applyBorder="1" applyAlignment="1">
      <alignment horizontal="center" vertical="center" wrapText="1"/>
    </xf>
    <xf numFmtId="49" fontId="41" fillId="8" borderId="50" xfId="0" applyNumberFormat="1" applyFont="1" applyFill="1" applyBorder="1" applyAlignment="1">
      <alignment horizontal="center" vertical="center" wrapText="1"/>
    </xf>
    <xf numFmtId="0" fontId="6" fillId="0" borderId="62" xfId="0" applyFont="1" applyBorder="1" applyAlignment="1">
      <alignment horizontal="center" vertical="center"/>
    </xf>
    <xf numFmtId="0" fontId="45" fillId="5" borderId="62" xfId="0" applyFont="1" applyFill="1" applyBorder="1" applyAlignment="1">
      <alignment horizontal="center" vertical="center"/>
    </xf>
    <xf numFmtId="0" fontId="8" fillId="0" borderId="83" xfId="0" applyFont="1" applyBorder="1" applyAlignment="1">
      <alignment horizontal="center" vertical="center"/>
    </xf>
    <xf numFmtId="0" fontId="8" fillId="0" borderId="77" xfId="0" applyFont="1" applyBorder="1" applyAlignment="1">
      <alignment horizontal="center"/>
    </xf>
  </cellXfs>
  <cellStyles count="49">
    <cellStyle name="Euro" xfId="1" xr:uid="{86C14EDD-09D0-4EB8-902E-F23DF92ECA8E}"/>
    <cellStyle name="Euro 2" xfId="2" xr:uid="{74BDEA65-B5A1-41B2-A580-D38CC33A2B0D}"/>
    <cellStyle name="Euro 3" xfId="3" xr:uid="{C8E8DBD5-9500-4D90-91D3-1C7C4CCD9EEC}"/>
    <cellStyle name="Hipervínculo" xfId="4" builtinId="8"/>
    <cellStyle name="Hipervínculo 2" xfId="5" xr:uid="{1552979D-4C2C-435E-94B5-703A893C2DE7}"/>
    <cellStyle name="Millares" xfId="6" builtinId="3"/>
    <cellStyle name="Millares 2" xfId="7" xr:uid="{803BABD7-1DCF-4E4E-9FE4-119488E2EBA1}"/>
    <cellStyle name="Millares 2 2" xfId="8" xr:uid="{4CA352A5-8A2D-404B-9F55-E1ECCDC8BFDC}"/>
    <cellStyle name="Millares 2 3" xfId="9" xr:uid="{A9E6036F-E454-49E4-A493-DD49DDD287EE}"/>
    <cellStyle name="Millares 2 4" xfId="10" xr:uid="{A7A47827-E76C-451C-BA70-DA44ACAC3AE4}"/>
    <cellStyle name="Millares 3" xfId="11" xr:uid="{7F2E01C7-5497-4E95-8525-F9BCD6B14D46}"/>
    <cellStyle name="Millares 3 2" xfId="12" xr:uid="{9BED12AF-BCA6-472A-866E-D73A496E1380}"/>
    <cellStyle name="Millares 3 3" xfId="13" xr:uid="{F51E2B25-2D0B-4FE4-8F59-B4F43B085A19}"/>
    <cellStyle name="Millares 4" xfId="14" xr:uid="{F256D2C4-12E3-4F4F-AC7F-94142265BD0F}"/>
    <cellStyle name="Millares 4 2" xfId="15" xr:uid="{0C68ECF6-D7CB-4200-841B-BB1A209D68EB}"/>
    <cellStyle name="Millares 4 3" xfId="16" xr:uid="{F740F9CE-8494-4737-B867-8085B315ECC2}"/>
    <cellStyle name="Millares 5" xfId="17" xr:uid="{2EECA94F-C821-423B-998C-F20BFCC336D2}"/>
    <cellStyle name="Millares 5 2" xfId="18" xr:uid="{E4144FD7-403C-4F9F-A5CF-6B3A4BF46766}"/>
    <cellStyle name="Millares 5 3" xfId="19" xr:uid="{6BCE473A-A1BE-4320-BE3F-AD786412BB1C}"/>
    <cellStyle name="Millares 6" xfId="20" xr:uid="{79F9C0A6-354D-41A1-86F3-F38E6274B11D}"/>
    <cellStyle name="Millares 6 2" xfId="21" xr:uid="{C5777FAC-6D73-4569-BD4A-EEB2FD4F3E53}"/>
    <cellStyle name="Millares 6 3" xfId="22" xr:uid="{02994EE7-AE68-4AC5-B575-075D7BE319B6}"/>
    <cellStyle name="Millares 7" xfId="23" xr:uid="{9EB02C02-AD01-4E38-8123-5862C6DDC1B8}"/>
    <cellStyle name="Millares 8" xfId="24" xr:uid="{ECB1F291-F205-4088-BBAA-40F1BFCBFF0C}"/>
    <cellStyle name="Millares 9" xfId="25" xr:uid="{1414D800-C732-4AA5-95C6-F4D4B294355F}"/>
    <cellStyle name="Moneda" xfId="26" builtinId="4"/>
    <cellStyle name="Moneda 2" xfId="27" xr:uid="{AD8448BF-AE0A-4B5C-A6CD-4AC0EF239EB2}"/>
    <cellStyle name="Moneda 2 2" xfId="28" xr:uid="{4AB50656-E639-46CF-9652-66F0F9CEEEBD}"/>
    <cellStyle name="Moneda 2 3" xfId="29" xr:uid="{6476EEEE-7456-462E-9C09-3DEA5B619EA2}"/>
    <cellStyle name="Moneda 3" xfId="30" xr:uid="{5EDD2DC6-08C1-414B-8552-36599C1BEABA}"/>
    <cellStyle name="Moneda 4" xfId="31" xr:uid="{B52358ED-6EEF-4F9C-AB94-837BDB908AED}"/>
    <cellStyle name="Moneda 5" xfId="32" xr:uid="{E336663F-CDD0-4E07-9FE9-F99743D04CD0}"/>
    <cellStyle name="Normal" xfId="0" builtinId="0"/>
    <cellStyle name="Normal 2" xfId="33" xr:uid="{72C93E04-A627-4112-A35E-F192E62C62E3}"/>
    <cellStyle name="Normal 2 2" xfId="34" xr:uid="{7D2F422E-F95E-4807-80E1-16EF44AF65B6}"/>
    <cellStyle name="Normal 2 3" xfId="35" xr:uid="{C6D592E2-93F9-448D-A784-2417C6808965}"/>
    <cellStyle name="Normal 3" xfId="36" xr:uid="{929E7526-9706-4B24-A54D-25751BBC0CB7}"/>
    <cellStyle name="Porcentaje" xfId="37" builtinId="5"/>
    <cellStyle name="Porcentaje 2" xfId="38" xr:uid="{27468C68-2205-4482-A8CB-997904E68825}"/>
    <cellStyle name="Porcentual 2" xfId="39" xr:uid="{1A0CF0BE-F613-4801-A563-F7D4C20F770B}"/>
    <cellStyle name="Porcentual 2 2" xfId="40" xr:uid="{CD7B28A4-2078-478C-A065-62DEAAFA6732}"/>
    <cellStyle name="Porcentual 2 3" xfId="41" xr:uid="{58FAF1FF-42B4-4988-A337-791976985CC5}"/>
    <cellStyle name="Porcentual 3" xfId="42" xr:uid="{C7F05C72-62FF-44BD-8E1F-5F3B942758DA}"/>
    <cellStyle name="Porcentual 3 2" xfId="43" xr:uid="{644C8E2C-8D96-42A9-BBEC-C418D4B28B6A}"/>
    <cellStyle name="Porcentual 3 3" xfId="44" xr:uid="{7817C7F5-1995-4EB2-965E-CE86650B3D70}"/>
    <cellStyle name="Porcentual 4" xfId="45" xr:uid="{0A09A881-F07A-4E7E-BA69-DED7D4C904A0}"/>
    <cellStyle name="Porcentual 5" xfId="46" xr:uid="{E34CA1D4-A894-41E9-BCC0-E7FAB03839B6}"/>
    <cellStyle name="Porcentual 6" xfId="47" xr:uid="{7D66DDD0-0463-44CF-8342-EC0D6630DEA4}"/>
    <cellStyle name="Porcentual 7" xfId="48" xr:uid="{1A9ADC7F-56A5-46CA-B032-51FD5E725D1F}"/>
  </cellStyles>
  <dxfs count="1">
    <dxf>
      <fill>
        <patternFill patternType="solid">
          <fgColor rgb="FFC5E0B3"/>
          <bgColor rgb="FFC5E0B3"/>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xdr:from>
      <xdr:col>0</xdr:col>
      <xdr:colOff>123825</xdr:colOff>
      <xdr:row>0</xdr:row>
      <xdr:rowOff>85725</xdr:rowOff>
    </xdr:from>
    <xdr:to>
      <xdr:col>0</xdr:col>
      <xdr:colOff>1200150</xdr:colOff>
      <xdr:row>2</xdr:row>
      <xdr:rowOff>219075</xdr:rowOff>
    </xdr:to>
    <xdr:pic>
      <xdr:nvPicPr>
        <xdr:cNvPr id="1062920" name="Picture 1">
          <a:extLst>
            <a:ext uri="{FF2B5EF4-FFF2-40B4-BE49-F238E27FC236}">
              <a16:creationId xmlns:a16="http://schemas.microsoft.com/office/drawing/2014/main" id="{7E843306-AE04-7B12-4A48-CB677A7A24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44513" t="62254" r="40564" b="21014"/>
        <a:stretch>
          <a:fillRect/>
        </a:stretch>
      </xdr:blipFill>
      <xdr:spPr bwMode="auto">
        <a:xfrm>
          <a:off x="123825" y="85725"/>
          <a:ext cx="1076325" cy="695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47625</xdr:colOff>
      <xdr:row>0</xdr:row>
      <xdr:rowOff>57150</xdr:rowOff>
    </xdr:from>
    <xdr:to>
      <xdr:col>0</xdr:col>
      <xdr:colOff>1085850</xdr:colOff>
      <xdr:row>3</xdr:row>
      <xdr:rowOff>123825</xdr:rowOff>
    </xdr:to>
    <xdr:pic>
      <xdr:nvPicPr>
        <xdr:cNvPr id="1063944" name="Picture 17">
          <a:extLst>
            <a:ext uri="{FF2B5EF4-FFF2-40B4-BE49-F238E27FC236}">
              <a16:creationId xmlns:a16="http://schemas.microsoft.com/office/drawing/2014/main" id="{71F63F2C-D091-E424-5A9F-F09D58E8A6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44513" t="62254" r="40564" b="21014"/>
        <a:stretch>
          <a:fillRect/>
        </a:stretch>
      </xdr:blipFill>
      <xdr:spPr bwMode="auto">
        <a:xfrm>
          <a:off x="47625" y="57150"/>
          <a:ext cx="1038225" cy="66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Documents%20and%20Settings\pzuniga\Escritorio\Backup%20Acarranza\SGC-10\TH%202013\NOMINAS%202013\NOMINAS%202013\JUNIO\CDP%20Y%20CRP%20062013\CDP%20NOMINA%20SUELDOS%20JUNIO%20NUEVO%20FORMATO.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I-F01"/>
      <sheetName val="POR"/>
      <sheetName val="CONV"/>
      <sheetName val="Hoja3"/>
      <sheetName val="Rubros"/>
      <sheetName val="Cargos"/>
    </sheetNames>
    <sheetDataSet>
      <sheetData sheetId="0"/>
      <sheetData sheetId="1"/>
      <sheetData sheetId="2"/>
      <sheetData sheetId="3"/>
      <sheetData sheetId="4" refreshError="1"/>
      <sheetData sheetId="5" refreshError="1"/>
    </sheetDataSet>
  </externalBook>
</externalLink>
</file>

<file path=xl/theme/theme1.xml><?xml version="1.0" encoding="utf-8"?>
<a:theme xmlns:a="http://schemas.openxmlformats.org/drawingml/2006/main" name="Tema de Office">
  <a:themeElements>
    <a:clrScheme name="Aspecto">
      <a:dk1>
        <a:sysClr val="windowText" lastClr="000000"/>
      </a:dk1>
      <a:lt1>
        <a:sysClr val="window" lastClr="FFFFFF"/>
      </a:lt1>
      <a:dk2>
        <a:srgbClr val="323232"/>
      </a:dk2>
      <a:lt2>
        <a:srgbClr val="E3DED1"/>
      </a:lt2>
      <a:accent1>
        <a:srgbClr val="F07F09"/>
      </a:accent1>
      <a:accent2>
        <a:srgbClr val="9F2936"/>
      </a:accent2>
      <a:accent3>
        <a:srgbClr val="1B587C"/>
      </a:accent3>
      <a:accent4>
        <a:srgbClr val="4E8542"/>
      </a:accent4>
      <a:accent5>
        <a:srgbClr val="604878"/>
      </a:accent5>
      <a:accent6>
        <a:srgbClr val="C19859"/>
      </a:accent6>
      <a:hlink>
        <a:srgbClr val="6B9F25"/>
      </a:hlink>
      <a:folHlink>
        <a:srgbClr val="B26B0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mailto:marco.lopez@idt.gov.co" TargetMode="External"/><Relationship Id="rId21" Type="http://schemas.openxmlformats.org/officeDocument/2006/relationships/hyperlink" Target="mailto:debbie.angulo@idt.gov.co" TargetMode="External"/><Relationship Id="rId42" Type="http://schemas.openxmlformats.org/officeDocument/2006/relationships/hyperlink" Target="mailto:katherin.uribe@idt.gov.co" TargetMode="External"/><Relationship Id="rId63" Type="http://schemas.openxmlformats.org/officeDocument/2006/relationships/hyperlink" Target="mailto:juan.estupinan@idt.gov.co" TargetMode="External"/><Relationship Id="rId84" Type="http://schemas.openxmlformats.org/officeDocument/2006/relationships/hyperlink" Target="mailto:nydia.gutierrez@idt.gov.co" TargetMode="External"/><Relationship Id="rId138" Type="http://schemas.openxmlformats.org/officeDocument/2006/relationships/hyperlink" Target="mailto:juan.castro@idt.gov.co" TargetMode="External"/><Relationship Id="rId159" Type="http://schemas.openxmlformats.org/officeDocument/2006/relationships/hyperlink" Target="mailto:david.sabogal@idt.gov.co" TargetMode="External"/><Relationship Id="rId107" Type="http://schemas.openxmlformats.org/officeDocument/2006/relationships/hyperlink" Target="mailto:nayibe.rodriguez@idt.gov.co" TargetMode="External"/><Relationship Id="rId11" Type="http://schemas.openxmlformats.org/officeDocument/2006/relationships/hyperlink" Target="mailto:angela.pantoja@idt.gov.co" TargetMode="External"/><Relationship Id="rId32" Type="http://schemas.openxmlformats.org/officeDocument/2006/relationships/hyperlink" Target="mailto:tatiana.cabiativa@idt.gov.co" TargetMode="External"/><Relationship Id="rId53" Type="http://schemas.openxmlformats.org/officeDocument/2006/relationships/hyperlink" Target="mailto:laura.sanclemente@idt.gov.co" TargetMode="External"/><Relationship Id="rId74" Type="http://schemas.openxmlformats.org/officeDocument/2006/relationships/hyperlink" Target="mailto:alejandra.sastoque@idt.gov.co" TargetMode="External"/><Relationship Id="rId128" Type="http://schemas.openxmlformats.org/officeDocument/2006/relationships/hyperlink" Target="mailto:lisbeth.triana@idt.gov.co" TargetMode="External"/><Relationship Id="rId149" Type="http://schemas.openxmlformats.org/officeDocument/2006/relationships/hyperlink" Target="mailto:carlos.lopez@idt.gov.co" TargetMode="External"/><Relationship Id="rId5" Type="http://schemas.openxmlformats.org/officeDocument/2006/relationships/hyperlink" Target="mailto:maria.suarez@idt.gov.co" TargetMode="External"/><Relationship Id="rId95" Type="http://schemas.openxmlformats.org/officeDocument/2006/relationships/hyperlink" Target="mailto:lina.rodriguez@idt.gov.co" TargetMode="External"/><Relationship Id="rId160" Type="http://schemas.openxmlformats.org/officeDocument/2006/relationships/hyperlink" Target="mailto:laura.tunjano@idt.gov.co" TargetMode="External"/><Relationship Id="rId22" Type="http://schemas.openxmlformats.org/officeDocument/2006/relationships/hyperlink" Target="mailto:liliana.roa@idt.gov.co" TargetMode="External"/><Relationship Id="rId43" Type="http://schemas.openxmlformats.org/officeDocument/2006/relationships/hyperlink" Target="mailto:natalia.millares@idt.gov.co" TargetMode="External"/><Relationship Id="rId64" Type="http://schemas.openxmlformats.org/officeDocument/2006/relationships/hyperlink" Target="mailto:faccello.argel@idt.gov.co" TargetMode="External"/><Relationship Id="rId118" Type="http://schemas.openxmlformats.org/officeDocument/2006/relationships/hyperlink" Target="mailto:jorge.naranjo@idt.gov.co" TargetMode="External"/><Relationship Id="rId139" Type="http://schemas.openxmlformats.org/officeDocument/2006/relationships/hyperlink" Target="mailto:esteban.cruz@idt.gov.co" TargetMode="External"/><Relationship Id="rId85" Type="http://schemas.openxmlformats.org/officeDocument/2006/relationships/hyperlink" Target="mailto:carolina.olarte@idt.gov.co" TargetMode="External"/><Relationship Id="rId150" Type="http://schemas.openxmlformats.org/officeDocument/2006/relationships/hyperlink" Target="mailto:laura.camacho@idt.gov.co" TargetMode="External"/><Relationship Id="rId12" Type="http://schemas.openxmlformats.org/officeDocument/2006/relationships/hyperlink" Target="mailto:jimena.herrera@idt.gov.co" TargetMode="External"/><Relationship Id="rId17" Type="http://schemas.openxmlformats.org/officeDocument/2006/relationships/hyperlink" Target="mailto:sandra.cobos@idt.gov.co" TargetMode="External"/><Relationship Id="rId33" Type="http://schemas.openxmlformats.org/officeDocument/2006/relationships/hyperlink" Target="mailto:juan.guzman@idt.gov.co" TargetMode="External"/><Relationship Id="rId38" Type="http://schemas.openxmlformats.org/officeDocument/2006/relationships/hyperlink" Target="mailto:briyith.reyes@idt.gov.co" TargetMode="External"/><Relationship Id="rId59" Type="http://schemas.openxmlformats.org/officeDocument/2006/relationships/hyperlink" Target="mailto:ana.montoya@idt.gov.co" TargetMode="External"/><Relationship Id="rId103" Type="http://schemas.openxmlformats.org/officeDocument/2006/relationships/hyperlink" Target="mailto:andres.vergara@idt.gov.co" TargetMode="External"/><Relationship Id="rId108" Type="http://schemas.openxmlformats.org/officeDocument/2006/relationships/hyperlink" Target="mailto:valeria.marti@idt.gov.co" TargetMode="External"/><Relationship Id="rId124" Type="http://schemas.openxmlformats.org/officeDocument/2006/relationships/hyperlink" Target="mailto:diana.suarez@idt.gov.co" TargetMode="External"/><Relationship Id="rId129" Type="http://schemas.openxmlformats.org/officeDocument/2006/relationships/hyperlink" Target="mailto:jairo.romero@idt.gov.co" TargetMode="External"/><Relationship Id="rId54" Type="http://schemas.openxmlformats.org/officeDocument/2006/relationships/hyperlink" Target="mailto:mateo.caballero@idt.gov.co" TargetMode="External"/><Relationship Id="rId70" Type="http://schemas.openxmlformats.org/officeDocument/2006/relationships/hyperlink" Target="mailto:alexandra.torres@idt.gov.co" TargetMode="External"/><Relationship Id="rId75" Type="http://schemas.openxmlformats.org/officeDocument/2006/relationships/hyperlink" Target="mailto:maria.rivera@idt.gov.co" TargetMode="External"/><Relationship Id="rId91" Type="http://schemas.openxmlformats.org/officeDocument/2006/relationships/hyperlink" Target="mailto:monica.suarez@idt.gov.co" TargetMode="External"/><Relationship Id="rId96" Type="http://schemas.openxmlformats.org/officeDocument/2006/relationships/hyperlink" Target="mailto:laura.chaves@idt.gov.co" TargetMode="External"/><Relationship Id="rId140" Type="http://schemas.openxmlformats.org/officeDocument/2006/relationships/hyperlink" Target="mailto:leidy.nova@idt.gov.co" TargetMode="External"/><Relationship Id="rId145" Type="http://schemas.openxmlformats.org/officeDocument/2006/relationships/hyperlink" Target="mailto:ismael.prieto@idt.gov.co" TargetMode="External"/><Relationship Id="rId161" Type="http://schemas.openxmlformats.org/officeDocument/2006/relationships/hyperlink" Target="mailto:barbara.gonzalez@idt.gov.co" TargetMode="External"/><Relationship Id="rId1" Type="http://schemas.openxmlformats.org/officeDocument/2006/relationships/hyperlink" Target="mailto:florena.duenas@idt.gov.co" TargetMode="External"/><Relationship Id="rId6" Type="http://schemas.openxmlformats.org/officeDocument/2006/relationships/hyperlink" Target="mailto:maria.gamboa@idt.gov.co" TargetMode="External"/><Relationship Id="rId23" Type="http://schemas.openxmlformats.org/officeDocument/2006/relationships/hyperlink" Target="mailto:angela.espinosa@idt.gov.co" TargetMode="External"/><Relationship Id="rId28" Type="http://schemas.openxmlformats.org/officeDocument/2006/relationships/hyperlink" Target="mailto:natalia.espitia@idt.gov.co" TargetMode="External"/><Relationship Id="rId49" Type="http://schemas.openxmlformats.org/officeDocument/2006/relationships/hyperlink" Target="mailto:idelber.sanchez@idt.gov.co" TargetMode="External"/><Relationship Id="rId114" Type="http://schemas.openxmlformats.org/officeDocument/2006/relationships/hyperlink" Target="mailto:henry.gomez@idt.gov.co" TargetMode="External"/><Relationship Id="rId119" Type="http://schemas.openxmlformats.org/officeDocument/2006/relationships/hyperlink" Target="mailto:olga.forero@idt.gov.co" TargetMode="External"/><Relationship Id="rId44" Type="http://schemas.openxmlformats.org/officeDocument/2006/relationships/hyperlink" Target="mailto:karla.mengual@idt.gov.co" TargetMode="External"/><Relationship Id="rId60" Type="http://schemas.openxmlformats.org/officeDocument/2006/relationships/hyperlink" Target="mailto:ivan.escobar@idt.gov.co" TargetMode="External"/><Relationship Id="rId65" Type="http://schemas.openxmlformats.org/officeDocument/2006/relationships/hyperlink" Target="mailto:katherine.junca@idt.gov.co" TargetMode="External"/><Relationship Id="rId81" Type="http://schemas.openxmlformats.org/officeDocument/2006/relationships/hyperlink" Target="mailto:laura.rojas@idt.gov.co" TargetMode="External"/><Relationship Id="rId86" Type="http://schemas.openxmlformats.org/officeDocument/2006/relationships/hyperlink" Target="mailto:yuly.garcia@idt.gov.co" TargetMode="External"/><Relationship Id="rId130" Type="http://schemas.openxmlformats.org/officeDocument/2006/relationships/hyperlink" Target="mailto:jhon.parada@idt.gov.co" TargetMode="External"/><Relationship Id="rId135" Type="http://schemas.openxmlformats.org/officeDocument/2006/relationships/hyperlink" Target="mailto:fior.perez@idt.gov.co" TargetMode="External"/><Relationship Id="rId151" Type="http://schemas.openxmlformats.org/officeDocument/2006/relationships/hyperlink" Target="mailto:juan.yepes@idt.gov.co" TargetMode="External"/><Relationship Id="rId156" Type="http://schemas.openxmlformats.org/officeDocument/2006/relationships/hyperlink" Target="mailto:viviana.leon@idt.gov.co" TargetMode="External"/><Relationship Id="rId13" Type="http://schemas.openxmlformats.org/officeDocument/2006/relationships/hyperlink" Target="mailto:natalia.saenz@idt.gov.co" TargetMode="External"/><Relationship Id="rId18" Type="http://schemas.openxmlformats.org/officeDocument/2006/relationships/hyperlink" Target="mailto:santiago.martinez@idt.gov.co" TargetMode="External"/><Relationship Id="rId39" Type="http://schemas.openxmlformats.org/officeDocument/2006/relationships/hyperlink" Target="mailto:johan.ramirez@idt.gov.co" TargetMode="External"/><Relationship Id="rId109" Type="http://schemas.openxmlformats.org/officeDocument/2006/relationships/hyperlink" Target="mailto:leonardo.nieto@idt.gov.co" TargetMode="External"/><Relationship Id="rId34" Type="http://schemas.openxmlformats.org/officeDocument/2006/relationships/hyperlink" Target="mailto:catherine.barbosa@idt.gov.co" TargetMode="External"/><Relationship Id="rId50" Type="http://schemas.openxmlformats.org/officeDocument/2006/relationships/hyperlink" Target="mailto:nataly.parra@idt.gov.co" TargetMode="External"/><Relationship Id="rId55" Type="http://schemas.openxmlformats.org/officeDocument/2006/relationships/hyperlink" Target="mailto:kevin.molano@idt.gov.co" TargetMode="External"/><Relationship Id="rId76" Type="http://schemas.openxmlformats.org/officeDocument/2006/relationships/hyperlink" Target="mailto:erika.renteria@idt.gov.co" TargetMode="External"/><Relationship Id="rId97" Type="http://schemas.openxmlformats.org/officeDocument/2006/relationships/hyperlink" Target="mailto:erika.restrepo@idt.gov.co" TargetMode="External"/><Relationship Id="rId104" Type="http://schemas.openxmlformats.org/officeDocument/2006/relationships/hyperlink" Target="mailto:victoria.mora@idt.gov.co" TargetMode="External"/><Relationship Id="rId120" Type="http://schemas.openxmlformats.org/officeDocument/2006/relationships/hyperlink" Target="mailto:andrea.herrera@idt.gov.co" TargetMode="External"/><Relationship Id="rId125" Type="http://schemas.openxmlformats.org/officeDocument/2006/relationships/hyperlink" Target="mailto:karen.barrera@idt.gov.co" TargetMode="External"/><Relationship Id="rId141" Type="http://schemas.openxmlformats.org/officeDocument/2006/relationships/hyperlink" Target="mailto:adriana.alfonso@idt.gov.co" TargetMode="External"/><Relationship Id="rId146" Type="http://schemas.openxmlformats.org/officeDocument/2006/relationships/hyperlink" Target="mailto:nataly.bedoya@idt.gov.co" TargetMode="External"/><Relationship Id="rId7" Type="http://schemas.openxmlformats.org/officeDocument/2006/relationships/hyperlink" Target="mailto:jessica.vargas@idt.gov.co" TargetMode="External"/><Relationship Id="rId71" Type="http://schemas.openxmlformats.org/officeDocument/2006/relationships/hyperlink" Target="mailto:stalyn.guerrero@idt.gov.co" TargetMode="External"/><Relationship Id="rId92" Type="http://schemas.openxmlformats.org/officeDocument/2006/relationships/hyperlink" Target="mailto:carlos.guzman@idt.gov.co" TargetMode="External"/><Relationship Id="rId162" Type="http://schemas.openxmlformats.org/officeDocument/2006/relationships/hyperlink" Target="mailto:blanca.duarte@idt.gov.co" TargetMode="External"/><Relationship Id="rId2" Type="http://schemas.openxmlformats.org/officeDocument/2006/relationships/hyperlink" Target="mailto:christian.suarez@idt.gov.co" TargetMode="External"/><Relationship Id="rId29" Type="http://schemas.openxmlformats.org/officeDocument/2006/relationships/hyperlink" Target="mailto:juan.giron@idt.gov.co" TargetMode="External"/><Relationship Id="rId24" Type="http://schemas.openxmlformats.org/officeDocument/2006/relationships/hyperlink" Target="mailto:sebastian.ruano@idt.gov.co" TargetMode="External"/><Relationship Id="rId40" Type="http://schemas.openxmlformats.org/officeDocument/2006/relationships/hyperlink" Target="mailto:beatriz.perez@idt.gov.co" TargetMode="External"/><Relationship Id="rId45" Type="http://schemas.openxmlformats.org/officeDocument/2006/relationships/hyperlink" Target="mailto:cristian.calderon@idt.gov.co" TargetMode="External"/><Relationship Id="rId66" Type="http://schemas.openxmlformats.org/officeDocument/2006/relationships/hyperlink" Target="mailto:tanny.alvarez@idt.gov.co" TargetMode="External"/><Relationship Id="rId87" Type="http://schemas.openxmlformats.org/officeDocument/2006/relationships/hyperlink" Target="mailto:johana.rubiano@idt.gov.co" TargetMode="External"/><Relationship Id="rId110" Type="http://schemas.openxmlformats.org/officeDocument/2006/relationships/hyperlink" Target="mailto:maria.villamizar@idt.gov.co" TargetMode="External"/><Relationship Id="rId115" Type="http://schemas.openxmlformats.org/officeDocument/2006/relationships/hyperlink" Target="mailto:luisa.barbosa@idt.gov.co" TargetMode="External"/><Relationship Id="rId131" Type="http://schemas.openxmlformats.org/officeDocument/2006/relationships/hyperlink" Target="mailto:juan.ostos@idt.gov.co" TargetMode="External"/><Relationship Id="rId136" Type="http://schemas.openxmlformats.org/officeDocument/2006/relationships/hyperlink" Target="mailto:alejandra.galindo@idt.gov.co" TargetMode="External"/><Relationship Id="rId157" Type="http://schemas.openxmlformats.org/officeDocument/2006/relationships/hyperlink" Target="mailto:santiago.suarez@idt.gov.co" TargetMode="External"/><Relationship Id="rId61" Type="http://schemas.openxmlformats.org/officeDocument/2006/relationships/hyperlink" Target="mailto:elizabeth.arevalo@idt.gov.co" TargetMode="External"/><Relationship Id="rId82" Type="http://schemas.openxmlformats.org/officeDocument/2006/relationships/hyperlink" Target="mailto:alizon.pinilla@idt.gov.co" TargetMode="External"/><Relationship Id="rId152" Type="http://schemas.openxmlformats.org/officeDocument/2006/relationships/hyperlink" Target="mailto:yonathan.pinzon@idt.gov.co" TargetMode="External"/><Relationship Id="rId19" Type="http://schemas.openxmlformats.org/officeDocument/2006/relationships/hyperlink" Target="mailto:rocio.rozo@idt.gov.co" TargetMode="External"/><Relationship Id="rId14" Type="http://schemas.openxmlformats.org/officeDocument/2006/relationships/hyperlink" Target="mailto:felipe.garzon@idt.gov.co" TargetMode="External"/><Relationship Id="rId30" Type="http://schemas.openxmlformats.org/officeDocument/2006/relationships/hyperlink" Target="mailto:julian.rubiano@idt.gov.co" TargetMode="External"/><Relationship Id="rId35" Type="http://schemas.openxmlformats.org/officeDocument/2006/relationships/hyperlink" Target="mailto:lina.medina@idt.gov.co" TargetMode="External"/><Relationship Id="rId56" Type="http://schemas.openxmlformats.org/officeDocument/2006/relationships/hyperlink" Target="mailto:carol.barragan@idt.gov.co" TargetMode="External"/><Relationship Id="rId77" Type="http://schemas.openxmlformats.org/officeDocument/2006/relationships/hyperlink" Target="mailto:maria.gualdron@idt.gov.co" TargetMode="External"/><Relationship Id="rId100" Type="http://schemas.openxmlformats.org/officeDocument/2006/relationships/hyperlink" Target="mailto:nestor.goyes@idt.gov.co" TargetMode="External"/><Relationship Id="rId105" Type="http://schemas.openxmlformats.org/officeDocument/2006/relationships/hyperlink" Target="mailto:johann.pachon@idt.gov.co" TargetMode="External"/><Relationship Id="rId126" Type="http://schemas.openxmlformats.org/officeDocument/2006/relationships/hyperlink" Target="mailto:natalia.alvarado@idt.gov.co" TargetMode="External"/><Relationship Id="rId147" Type="http://schemas.openxmlformats.org/officeDocument/2006/relationships/hyperlink" Target="mailto:miller.huertas@idt.gov.co" TargetMode="External"/><Relationship Id="rId8" Type="http://schemas.openxmlformats.org/officeDocument/2006/relationships/hyperlink" Target="mailto:marcos.rodriguez@idt.gov.co" TargetMode="External"/><Relationship Id="rId51" Type="http://schemas.openxmlformats.org/officeDocument/2006/relationships/hyperlink" Target="mailto:sebastian.useche@idt.gov.co" TargetMode="External"/><Relationship Id="rId72" Type="http://schemas.openxmlformats.org/officeDocument/2006/relationships/hyperlink" Target="mailto:valeria.muneton@idt.gov.co" TargetMode="External"/><Relationship Id="rId93" Type="http://schemas.openxmlformats.org/officeDocument/2006/relationships/hyperlink" Target="mailto:maria.garcia@idt.gov.co" TargetMode="External"/><Relationship Id="rId98" Type="http://schemas.openxmlformats.org/officeDocument/2006/relationships/hyperlink" Target="mailto:andres.oviedo@idt.gov.co" TargetMode="External"/><Relationship Id="rId121" Type="http://schemas.openxmlformats.org/officeDocument/2006/relationships/hyperlink" Target="mailto:carolina.pulgarin@idt.gov.co" TargetMode="External"/><Relationship Id="rId142" Type="http://schemas.openxmlformats.org/officeDocument/2006/relationships/hyperlink" Target="mailto:maria.villota@idt.gov.co" TargetMode="External"/><Relationship Id="rId163" Type="http://schemas.openxmlformats.org/officeDocument/2006/relationships/hyperlink" Target="mailto:luis.churon@idt.gov.co" TargetMode="External"/><Relationship Id="rId3" Type="http://schemas.openxmlformats.org/officeDocument/2006/relationships/hyperlink" Target="mailto:yeisson.joya@idt.gov.co" TargetMode="External"/><Relationship Id="rId25" Type="http://schemas.openxmlformats.org/officeDocument/2006/relationships/hyperlink" Target="mailto:santiago.rincon@idt.gov.co" TargetMode="External"/><Relationship Id="rId46" Type="http://schemas.openxmlformats.org/officeDocument/2006/relationships/hyperlink" Target="mailto:jessica.jimenez@idt.gov.co" TargetMode="External"/><Relationship Id="rId67" Type="http://schemas.openxmlformats.org/officeDocument/2006/relationships/hyperlink" Target="mailto:diego.rodriguez@idt.gov.co" TargetMode="External"/><Relationship Id="rId116" Type="http://schemas.openxmlformats.org/officeDocument/2006/relationships/hyperlink" Target="mailto:katheryn.cabrera@idt.gov.co" TargetMode="External"/><Relationship Id="rId137" Type="http://schemas.openxmlformats.org/officeDocument/2006/relationships/hyperlink" Target="mailto:veronica.rodriguez@idt.gov.co" TargetMode="External"/><Relationship Id="rId158" Type="http://schemas.openxmlformats.org/officeDocument/2006/relationships/hyperlink" Target="mailto:andrea.salamanca@idt.gov.co" TargetMode="External"/><Relationship Id="rId20" Type="http://schemas.openxmlformats.org/officeDocument/2006/relationships/hyperlink" Target="mailto:mariluz.gomez@idt.gov.co" TargetMode="External"/><Relationship Id="rId41" Type="http://schemas.openxmlformats.org/officeDocument/2006/relationships/hyperlink" Target="mailto:carlos.otavo@idt.gov.co" TargetMode="External"/><Relationship Id="rId62" Type="http://schemas.openxmlformats.org/officeDocument/2006/relationships/hyperlink" Target="mailto:daniel.mantilla@idt.gov.co" TargetMode="External"/><Relationship Id="rId83" Type="http://schemas.openxmlformats.org/officeDocument/2006/relationships/hyperlink" Target="mailto:anderson.huerfano@idt.gov.co" TargetMode="External"/><Relationship Id="rId88" Type="http://schemas.openxmlformats.org/officeDocument/2006/relationships/hyperlink" Target="mailto:johnny.osma@idt.gov.co" TargetMode="External"/><Relationship Id="rId111" Type="http://schemas.openxmlformats.org/officeDocument/2006/relationships/hyperlink" Target="mailto:valeria.diaz@idt.gov.co" TargetMode="External"/><Relationship Id="rId132" Type="http://schemas.openxmlformats.org/officeDocument/2006/relationships/hyperlink" Target="mailto:jessica.algarra@idt.gov.co" TargetMode="External"/><Relationship Id="rId153" Type="http://schemas.openxmlformats.org/officeDocument/2006/relationships/hyperlink" Target="mailto:claudia.martinez@idt.gov.co" TargetMode="External"/><Relationship Id="rId15" Type="http://schemas.openxmlformats.org/officeDocument/2006/relationships/hyperlink" Target="mailto:diana.ruiz@idt.gov.co" TargetMode="External"/><Relationship Id="rId36" Type="http://schemas.openxmlformats.org/officeDocument/2006/relationships/hyperlink" Target="mailto:jhon.acuna@idt.gov.co" TargetMode="External"/><Relationship Id="rId57" Type="http://schemas.openxmlformats.org/officeDocument/2006/relationships/hyperlink" Target="mailto:yenny.mendoza@idt.gov.co" TargetMode="External"/><Relationship Id="rId106" Type="http://schemas.openxmlformats.org/officeDocument/2006/relationships/hyperlink" Target="mailto:alexander.villalobos@idt.gov.co" TargetMode="External"/><Relationship Id="rId127" Type="http://schemas.openxmlformats.org/officeDocument/2006/relationships/hyperlink" Target="mailto:maida.asis@idt.gov.co" TargetMode="External"/><Relationship Id="rId10" Type="http://schemas.openxmlformats.org/officeDocument/2006/relationships/hyperlink" Target="mailto:daniela.garces@idt.gov.co" TargetMode="External"/><Relationship Id="rId31" Type="http://schemas.openxmlformats.org/officeDocument/2006/relationships/hyperlink" Target="mailto:andrea.beltran@idt.gov.co" TargetMode="External"/><Relationship Id="rId52" Type="http://schemas.openxmlformats.org/officeDocument/2006/relationships/hyperlink" Target="mailto:catherine.sanchez@idt.gov.co" TargetMode="External"/><Relationship Id="rId73" Type="http://schemas.openxmlformats.org/officeDocument/2006/relationships/hyperlink" Target="mailto:julieth.rodriguez@idt.gov.co" TargetMode="External"/><Relationship Id="rId78" Type="http://schemas.openxmlformats.org/officeDocument/2006/relationships/hyperlink" Target="mailto:diana.moreno@idt.gov.co" TargetMode="External"/><Relationship Id="rId94" Type="http://schemas.openxmlformats.org/officeDocument/2006/relationships/hyperlink" Target="mailto:javier.hernandez@idt.gov.co" TargetMode="External"/><Relationship Id="rId99" Type="http://schemas.openxmlformats.org/officeDocument/2006/relationships/hyperlink" Target="mailto:gustavo.munoz@idt.gov.co" TargetMode="External"/><Relationship Id="rId101" Type="http://schemas.openxmlformats.org/officeDocument/2006/relationships/hyperlink" Target="mailto:carlos.viancha@idt.gov.co" TargetMode="External"/><Relationship Id="rId122" Type="http://schemas.openxmlformats.org/officeDocument/2006/relationships/hyperlink" Target="mailto:yamile.cepeda@idt.gov.co" TargetMode="External"/><Relationship Id="rId143" Type="http://schemas.openxmlformats.org/officeDocument/2006/relationships/hyperlink" Target="mailto:daniela.bogota@idt.gov.co" TargetMode="External"/><Relationship Id="rId148" Type="http://schemas.openxmlformats.org/officeDocument/2006/relationships/hyperlink" Target="mailto:diana.nino@idt.gov.co" TargetMode="External"/><Relationship Id="rId164" Type="http://schemas.openxmlformats.org/officeDocument/2006/relationships/hyperlink" Target="mailto:luz.sierra@idt.gov.co" TargetMode="External"/><Relationship Id="rId4" Type="http://schemas.openxmlformats.org/officeDocument/2006/relationships/hyperlink" Target="mailto:ingrid.jimenez@idt.gov.co" TargetMode="External"/><Relationship Id="rId9" Type="http://schemas.openxmlformats.org/officeDocument/2006/relationships/hyperlink" Target="mailto:monica.rico@idt.gov.co" TargetMode="External"/><Relationship Id="rId26" Type="http://schemas.openxmlformats.org/officeDocument/2006/relationships/hyperlink" Target="mailto:lady.perez@idt.gov.co" TargetMode="External"/><Relationship Id="rId47" Type="http://schemas.openxmlformats.org/officeDocument/2006/relationships/hyperlink" Target="mailto:maira.meneses@idt.gov.co" TargetMode="External"/><Relationship Id="rId68" Type="http://schemas.openxmlformats.org/officeDocument/2006/relationships/hyperlink" Target="mailto:juan.cabuya@idt.gov.co" TargetMode="External"/><Relationship Id="rId89" Type="http://schemas.openxmlformats.org/officeDocument/2006/relationships/hyperlink" Target="mailto:angela.rueda@idt.gov.co" TargetMode="External"/><Relationship Id="rId112" Type="http://schemas.openxmlformats.org/officeDocument/2006/relationships/hyperlink" Target="mailto:vivian.moreno@idt.gov.co" TargetMode="External"/><Relationship Id="rId133" Type="http://schemas.openxmlformats.org/officeDocument/2006/relationships/hyperlink" Target="mailto:juan.morales@idt.gov.co" TargetMode="External"/><Relationship Id="rId154" Type="http://schemas.openxmlformats.org/officeDocument/2006/relationships/hyperlink" Target="mailto:felipe.villanueva@idt.gov.co" TargetMode="External"/><Relationship Id="rId16" Type="http://schemas.openxmlformats.org/officeDocument/2006/relationships/hyperlink" Target="mailto:paula.medellin@idt.gov.co" TargetMode="External"/><Relationship Id="rId37" Type="http://schemas.openxmlformats.org/officeDocument/2006/relationships/hyperlink" Target="mailto:cesar.barrero@idt.gov.co" TargetMode="External"/><Relationship Id="rId58" Type="http://schemas.openxmlformats.org/officeDocument/2006/relationships/hyperlink" Target="mailto:selene.agudelo@idt.gov.co" TargetMode="External"/><Relationship Id="rId79" Type="http://schemas.openxmlformats.org/officeDocument/2006/relationships/hyperlink" Target="mailto:juanc.moreno@idt.gov.co" TargetMode="External"/><Relationship Id="rId102" Type="http://schemas.openxmlformats.org/officeDocument/2006/relationships/hyperlink" Target="mailto:julian.delgado@idt.gov.co" TargetMode="External"/><Relationship Id="rId123" Type="http://schemas.openxmlformats.org/officeDocument/2006/relationships/hyperlink" Target="mailto:diana.dimate@idt.gov.co" TargetMode="External"/><Relationship Id="rId144" Type="http://schemas.openxmlformats.org/officeDocument/2006/relationships/hyperlink" Target="mailto:cindy.bautista@idt.gov.co" TargetMode="External"/><Relationship Id="rId90" Type="http://schemas.openxmlformats.org/officeDocument/2006/relationships/hyperlink" Target="mailto:octavio.cruz@idt.gov.co" TargetMode="External"/><Relationship Id="rId165" Type="http://schemas.openxmlformats.org/officeDocument/2006/relationships/hyperlink" Target="mailto:mabel.saavedra@idt.gov.co" TargetMode="External"/><Relationship Id="rId27" Type="http://schemas.openxmlformats.org/officeDocument/2006/relationships/hyperlink" Target="mailto:cindy.castiblanco@idt.gov.co" TargetMode="External"/><Relationship Id="rId48" Type="http://schemas.openxmlformats.org/officeDocument/2006/relationships/hyperlink" Target="mailto:julio.sanabria@idt.gov.co" TargetMode="External"/><Relationship Id="rId69" Type="http://schemas.openxmlformats.org/officeDocument/2006/relationships/hyperlink" Target="mailto:paola.suarez@idt.gov.co" TargetMode="External"/><Relationship Id="rId113" Type="http://schemas.openxmlformats.org/officeDocument/2006/relationships/hyperlink" Target="mailto:natalia.velasquez@idt.gov.co" TargetMode="External"/><Relationship Id="rId134" Type="http://schemas.openxmlformats.org/officeDocument/2006/relationships/hyperlink" Target="mailto:angela.puche@idt.gov.co" TargetMode="External"/><Relationship Id="rId80" Type="http://schemas.openxmlformats.org/officeDocument/2006/relationships/hyperlink" Target="mailto:juan.rubio@idt.gov.co" TargetMode="External"/><Relationship Id="rId155" Type="http://schemas.openxmlformats.org/officeDocument/2006/relationships/hyperlink" Target="mailto:paola.velasquez@idt.gov.co"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vmlDrawing" Target="../drawings/vmlDrawing1.vml"/></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vmlDrawing" Target="../drawings/vmlDrawing2.vml"/></Relationships>
</file>

<file path=xl/worksheets/_rels/sheet6.xml.rels><?xml version="1.0" encoding="UTF-8" standalone="yes"?>
<Relationships xmlns="http://schemas.openxmlformats.org/package/2006/relationships"><Relationship Id="rId1" Type="http://schemas.openxmlformats.org/officeDocument/2006/relationships/vmlDrawing" Target="../drawings/vmlDrawing4.vml"/></Relationships>
</file>

<file path=xl/worksheets/_rels/sheet7.xml.rels><?xml version="1.0" encoding="UTF-8" standalone="yes"?>
<Relationships xmlns="http://schemas.openxmlformats.org/package/2006/relationships"><Relationship Id="rId1" Type="http://schemas.openxmlformats.org/officeDocument/2006/relationships/vmlDrawing" Target="../drawings/vmlDrawing5.vml"/></Relationships>
</file>

<file path=xl/worksheets/_rels/sheet9.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6.vml"/><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370E53-AE0F-4182-AE94-A6B746549E9A}">
  <dimension ref="A1:S219"/>
  <sheetViews>
    <sheetView tabSelected="1" workbookViewId="0">
      <selection activeCell="B1" sqref="B1:P3"/>
    </sheetView>
  </sheetViews>
  <sheetFormatPr baseColWidth="10" defaultColWidth="0" defaultRowHeight="15.5" x14ac:dyDescent="0.35"/>
  <cols>
    <col min="1" max="1" width="51.453125" style="372" customWidth="1"/>
    <col min="2" max="2" width="51.453125" style="377" customWidth="1"/>
    <col min="3" max="3" width="37.26953125" style="372" customWidth="1"/>
    <col min="4" max="4" width="16.81640625" style="375" customWidth="1"/>
    <col min="5" max="5" width="12.26953125" style="375" customWidth="1"/>
    <col min="6" max="6" width="18" style="375" customWidth="1"/>
    <col min="7" max="7" width="10.7265625" style="372" customWidth="1"/>
    <col min="8" max="8" width="33.7265625" style="372" customWidth="1"/>
    <col min="9" max="9" width="46.1796875" style="372" customWidth="1"/>
    <col min="10" max="10" width="12" style="372" customWidth="1"/>
    <col min="11" max="11" width="20.453125" style="375" bestFit="1" customWidth="1"/>
    <col min="12" max="12" width="16.26953125" style="375" bestFit="1" customWidth="1"/>
    <col min="13" max="13" width="76" style="372" customWidth="1"/>
    <col min="14" max="14" width="29.81640625" style="375" bestFit="1" customWidth="1"/>
    <col min="15" max="15" width="32.26953125" style="372" bestFit="1" customWidth="1"/>
    <col min="16" max="16" width="14.453125" style="372" hidden="1"/>
    <col min="17" max="17" width="5.81640625" style="372" customWidth="1"/>
    <col min="18" max="19" width="16.26953125" style="372" hidden="1" customWidth="1"/>
    <col min="20" max="16384" width="0" style="372" hidden="1"/>
  </cols>
  <sheetData>
    <row r="1" spans="1:16" ht="27.75" customHeight="1" x14ac:dyDescent="0.35">
      <c r="A1" s="394"/>
      <c r="B1" s="395" t="s">
        <v>0</v>
      </c>
      <c r="C1" s="396"/>
      <c r="D1" s="396"/>
      <c r="E1" s="396"/>
      <c r="F1" s="396"/>
      <c r="G1" s="396"/>
      <c r="H1" s="396"/>
      <c r="I1" s="396"/>
      <c r="J1" s="396"/>
      <c r="K1" s="396"/>
      <c r="L1" s="396"/>
      <c r="M1" s="396"/>
      <c r="N1" s="396"/>
      <c r="O1" s="396"/>
      <c r="P1" s="397"/>
    </row>
    <row r="2" spans="1:16" ht="27.75" customHeight="1" x14ac:dyDescent="0.35">
      <c r="A2" s="394"/>
      <c r="B2" s="398"/>
      <c r="C2" s="399"/>
      <c r="D2" s="399"/>
      <c r="E2" s="399"/>
      <c r="F2" s="399"/>
      <c r="G2" s="399"/>
      <c r="H2" s="399"/>
      <c r="I2" s="399"/>
      <c r="J2" s="399"/>
      <c r="K2" s="399"/>
      <c r="L2" s="399"/>
      <c r="M2" s="399"/>
      <c r="N2" s="399"/>
      <c r="O2" s="399"/>
      <c r="P2" s="400"/>
    </row>
    <row r="3" spans="1:16" ht="27.75" customHeight="1" x14ac:dyDescent="0.35">
      <c r="A3" s="394"/>
      <c r="B3" s="401"/>
      <c r="C3" s="402"/>
      <c r="D3" s="402"/>
      <c r="E3" s="402"/>
      <c r="F3" s="402"/>
      <c r="G3" s="402"/>
      <c r="H3" s="402"/>
      <c r="I3" s="402"/>
      <c r="J3" s="402"/>
      <c r="K3" s="402"/>
      <c r="L3" s="402"/>
      <c r="M3" s="402"/>
      <c r="N3" s="402"/>
      <c r="O3" s="402"/>
      <c r="P3" s="403"/>
    </row>
    <row r="4" spans="1:16" ht="27.75" customHeight="1" x14ac:dyDescent="0.35">
      <c r="A4" s="404" t="s">
        <v>1171</v>
      </c>
      <c r="B4" s="404"/>
      <c r="C4" s="404"/>
      <c r="D4" s="404"/>
      <c r="E4" s="404"/>
      <c r="F4" s="404"/>
      <c r="G4" s="404"/>
      <c r="H4" s="404"/>
      <c r="I4" s="404"/>
      <c r="J4" s="404"/>
      <c r="K4" s="404"/>
      <c r="L4" s="404"/>
      <c r="M4" s="404"/>
      <c r="N4" s="404"/>
      <c r="O4" s="404"/>
      <c r="P4" s="404"/>
    </row>
    <row r="5" spans="1:16" s="375" customFormat="1" ht="27.75" customHeight="1" x14ac:dyDescent="0.35">
      <c r="A5" s="373" t="s">
        <v>1</v>
      </c>
      <c r="B5" s="376" t="s">
        <v>2</v>
      </c>
      <c r="C5" s="374" t="s">
        <v>3</v>
      </c>
      <c r="D5" s="373" t="s">
        <v>4</v>
      </c>
      <c r="E5" s="373" t="s">
        <v>5</v>
      </c>
      <c r="F5" s="373" t="s">
        <v>6</v>
      </c>
      <c r="G5" s="373" t="s">
        <v>7</v>
      </c>
      <c r="H5" s="373" t="s">
        <v>8</v>
      </c>
      <c r="I5" s="373" t="s">
        <v>9</v>
      </c>
      <c r="J5" s="373" t="s">
        <v>10</v>
      </c>
      <c r="K5" s="373" t="s">
        <v>11</v>
      </c>
      <c r="L5" s="373" t="s">
        <v>12</v>
      </c>
      <c r="M5" s="373" t="s">
        <v>13</v>
      </c>
      <c r="N5" s="373" t="s">
        <v>14</v>
      </c>
      <c r="O5" s="373" t="s">
        <v>15</v>
      </c>
      <c r="P5" s="373" t="s">
        <v>16</v>
      </c>
    </row>
    <row r="6" spans="1:16" ht="27.75" customHeight="1" x14ac:dyDescent="0.35">
      <c r="A6" s="387" t="s">
        <v>17</v>
      </c>
      <c r="B6" s="378" t="s">
        <v>18</v>
      </c>
      <c r="C6" s="388" t="s">
        <v>19</v>
      </c>
      <c r="D6" s="389">
        <v>3700000</v>
      </c>
      <c r="E6" s="390">
        <v>46028</v>
      </c>
      <c r="F6" s="390">
        <v>46210</v>
      </c>
      <c r="G6" s="391" t="s">
        <v>20</v>
      </c>
      <c r="H6" s="391" t="s">
        <v>21</v>
      </c>
      <c r="I6" s="391" t="s">
        <v>22</v>
      </c>
      <c r="J6" s="383" t="s">
        <v>23</v>
      </c>
      <c r="K6" s="392" t="s">
        <v>24</v>
      </c>
      <c r="L6" s="392" t="s">
        <v>25</v>
      </c>
      <c r="M6" s="393" t="s">
        <v>26</v>
      </c>
      <c r="N6" s="379" t="s">
        <v>27</v>
      </c>
      <c r="O6" s="392">
        <v>2170711</v>
      </c>
    </row>
    <row r="7" spans="1:16" ht="27.75" customHeight="1" x14ac:dyDescent="0.35">
      <c r="A7" s="387" t="s">
        <v>28</v>
      </c>
      <c r="B7" s="378" t="s">
        <v>29</v>
      </c>
      <c r="C7" s="388" t="s">
        <v>30</v>
      </c>
      <c r="D7" s="389">
        <v>5595000</v>
      </c>
      <c r="E7" s="390">
        <v>46029</v>
      </c>
      <c r="F7" s="390">
        <v>46209</v>
      </c>
      <c r="G7" s="391" t="s">
        <v>20</v>
      </c>
      <c r="H7" s="391" t="s">
        <v>21</v>
      </c>
      <c r="I7" s="391" t="s">
        <v>31</v>
      </c>
      <c r="J7" s="383" t="s">
        <v>23</v>
      </c>
      <c r="K7" s="392" t="s">
        <v>24</v>
      </c>
      <c r="L7" s="392" t="s">
        <v>25</v>
      </c>
      <c r="M7" s="393" t="s">
        <v>26</v>
      </c>
      <c r="N7" s="379" t="s">
        <v>32</v>
      </c>
      <c r="O7" s="391">
        <v>2170711</v>
      </c>
    </row>
    <row r="8" spans="1:16" ht="27.75" customHeight="1" x14ac:dyDescent="0.35">
      <c r="A8" s="387" t="s">
        <v>33</v>
      </c>
      <c r="B8" s="378" t="s">
        <v>34</v>
      </c>
      <c r="C8" s="388" t="s">
        <v>35</v>
      </c>
      <c r="D8" s="389">
        <v>6000000</v>
      </c>
      <c r="E8" s="390">
        <v>46030</v>
      </c>
      <c r="F8" s="390">
        <v>46210</v>
      </c>
      <c r="G8" s="391" t="s">
        <v>20</v>
      </c>
      <c r="H8" s="391" t="s">
        <v>36</v>
      </c>
      <c r="I8" s="391" t="s">
        <v>37</v>
      </c>
      <c r="J8" s="383" t="s">
        <v>23</v>
      </c>
      <c r="K8" s="392" t="s">
        <v>24</v>
      </c>
      <c r="L8" s="392" t="s">
        <v>25</v>
      </c>
      <c r="M8" s="393" t="s">
        <v>38</v>
      </c>
      <c r="N8" s="379" t="s">
        <v>39</v>
      </c>
      <c r="O8" s="391">
        <v>2170711</v>
      </c>
    </row>
    <row r="9" spans="1:16" ht="27.75" customHeight="1" x14ac:dyDescent="0.35">
      <c r="A9" s="387" t="s">
        <v>40</v>
      </c>
      <c r="B9" s="378" t="s">
        <v>41</v>
      </c>
      <c r="C9" s="388" t="s">
        <v>19</v>
      </c>
      <c r="D9" s="389">
        <v>3700000</v>
      </c>
      <c r="E9" s="390">
        <v>46030</v>
      </c>
      <c r="F9" s="390">
        <v>46210</v>
      </c>
      <c r="G9" s="391" t="s">
        <v>20</v>
      </c>
      <c r="H9" s="391" t="s">
        <v>21</v>
      </c>
      <c r="I9" s="391" t="s">
        <v>22</v>
      </c>
      <c r="J9" s="383" t="s">
        <v>23</v>
      </c>
      <c r="K9" s="392" t="s">
        <v>24</v>
      </c>
      <c r="L9" s="392" t="s">
        <v>25</v>
      </c>
      <c r="M9" s="393" t="s">
        <v>26</v>
      </c>
      <c r="N9" s="379" t="s">
        <v>42</v>
      </c>
      <c r="O9" s="391">
        <v>2170711</v>
      </c>
    </row>
    <row r="10" spans="1:16" ht="27.75" customHeight="1" x14ac:dyDescent="0.35">
      <c r="A10" s="387" t="s">
        <v>43</v>
      </c>
      <c r="B10" s="378" t="s">
        <v>44</v>
      </c>
      <c r="C10" s="388" t="s">
        <v>45</v>
      </c>
      <c r="D10" s="389">
        <v>5865000</v>
      </c>
      <c r="E10" s="390">
        <v>46030</v>
      </c>
      <c r="F10" s="390">
        <v>46210</v>
      </c>
      <c r="G10" s="391" t="s">
        <v>20</v>
      </c>
      <c r="H10" s="391" t="s">
        <v>36</v>
      </c>
      <c r="I10" s="391" t="s">
        <v>37</v>
      </c>
      <c r="J10" s="383" t="s">
        <v>23</v>
      </c>
      <c r="K10" s="392" t="s">
        <v>24</v>
      </c>
      <c r="L10" s="392" t="s">
        <v>25</v>
      </c>
      <c r="M10" s="393" t="s">
        <v>46</v>
      </c>
      <c r="N10" s="380" t="s">
        <v>47</v>
      </c>
      <c r="O10" s="391">
        <v>2170711</v>
      </c>
    </row>
    <row r="11" spans="1:16" ht="27.75" customHeight="1" x14ac:dyDescent="0.35">
      <c r="A11" s="387" t="s">
        <v>48</v>
      </c>
      <c r="B11" s="378" t="s">
        <v>49</v>
      </c>
      <c r="C11" s="388" t="s">
        <v>50</v>
      </c>
      <c r="D11" s="389">
        <v>5865000</v>
      </c>
      <c r="E11" s="390">
        <v>46030</v>
      </c>
      <c r="F11" s="390">
        <v>46210</v>
      </c>
      <c r="G11" s="391" t="s">
        <v>20</v>
      </c>
      <c r="H11" s="391" t="s">
        <v>36</v>
      </c>
      <c r="I11" s="391" t="s">
        <v>37</v>
      </c>
      <c r="J11" s="383" t="s">
        <v>23</v>
      </c>
      <c r="K11" s="392" t="s">
        <v>51</v>
      </c>
      <c r="L11" s="392" t="s">
        <v>52</v>
      </c>
      <c r="M11" s="393" t="s">
        <v>46</v>
      </c>
      <c r="N11" s="379" t="s">
        <v>53</v>
      </c>
      <c r="O11" s="391">
        <v>2170711</v>
      </c>
    </row>
    <row r="12" spans="1:16" ht="27.75" customHeight="1" x14ac:dyDescent="0.35">
      <c r="A12" s="387" t="s">
        <v>54</v>
      </c>
      <c r="B12" s="378" t="s">
        <v>55</v>
      </c>
      <c r="C12" s="388" t="s">
        <v>56</v>
      </c>
      <c r="D12" s="389">
        <v>3200000</v>
      </c>
      <c r="E12" s="390">
        <v>46031</v>
      </c>
      <c r="F12" s="390">
        <v>46210</v>
      </c>
      <c r="G12" s="391" t="s">
        <v>20</v>
      </c>
      <c r="H12" s="391" t="s">
        <v>21</v>
      </c>
      <c r="I12" s="391" t="s">
        <v>57</v>
      </c>
      <c r="J12" s="383" t="s">
        <v>23</v>
      </c>
      <c r="K12" s="392" t="s">
        <v>51</v>
      </c>
      <c r="L12" s="392" t="s">
        <v>58</v>
      </c>
      <c r="M12" s="393" t="s">
        <v>46</v>
      </c>
      <c r="N12" s="379" t="s">
        <v>59</v>
      </c>
      <c r="O12" s="391">
        <v>2170711</v>
      </c>
    </row>
    <row r="13" spans="1:16" ht="27.75" customHeight="1" x14ac:dyDescent="0.35">
      <c r="A13" s="387" t="s">
        <v>60</v>
      </c>
      <c r="B13" s="378" t="s">
        <v>61</v>
      </c>
      <c r="C13" s="388" t="s">
        <v>62</v>
      </c>
      <c r="D13" s="389">
        <v>3700000</v>
      </c>
      <c r="E13" s="390">
        <v>46029</v>
      </c>
      <c r="F13" s="390">
        <v>46209</v>
      </c>
      <c r="G13" s="391" t="s">
        <v>20</v>
      </c>
      <c r="H13" s="391" t="s">
        <v>21</v>
      </c>
      <c r="I13" s="391" t="s">
        <v>22</v>
      </c>
      <c r="J13" s="383" t="s">
        <v>23</v>
      </c>
      <c r="K13" s="392" t="s">
        <v>63</v>
      </c>
      <c r="L13" s="392" t="s">
        <v>64</v>
      </c>
      <c r="M13" s="393" t="s">
        <v>26</v>
      </c>
      <c r="N13" s="379" t="s">
        <v>65</v>
      </c>
      <c r="O13" s="391">
        <v>2170711</v>
      </c>
    </row>
    <row r="14" spans="1:16" ht="27.75" customHeight="1" x14ac:dyDescent="0.35">
      <c r="A14" s="387" t="s">
        <v>66</v>
      </c>
      <c r="B14" s="378" t="s">
        <v>67</v>
      </c>
      <c r="C14" s="388" t="s">
        <v>68</v>
      </c>
      <c r="D14" s="389">
        <v>4515000</v>
      </c>
      <c r="E14" s="390">
        <v>46031</v>
      </c>
      <c r="F14" s="390">
        <v>46210</v>
      </c>
      <c r="G14" s="391" t="s">
        <v>20</v>
      </c>
      <c r="H14" s="391" t="s">
        <v>21</v>
      </c>
      <c r="I14" s="391" t="s">
        <v>69</v>
      </c>
      <c r="J14" s="383" t="s">
        <v>23</v>
      </c>
      <c r="K14" s="392" t="s">
        <v>24</v>
      </c>
      <c r="L14" s="392" t="s">
        <v>25</v>
      </c>
      <c r="M14" s="393" t="s">
        <v>46</v>
      </c>
      <c r="N14" s="379" t="s">
        <v>70</v>
      </c>
      <c r="O14" s="391">
        <v>2170711</v>
      </c>
    </row>
    <row r="15" spans="1:16" ht="27.75" customHeight="1" x14ac:dyDescent="0.35">
      <c r="A15" s="387" t="s">
        <v>71</v>
      </c>
      <c r="B15" s="378" t="s">
        <v>72</v>
      </c>
      <c r="C15" s="388" t="s">
        <v>73</v>
      </c>
      <c r="D15" s="389">
        <v>3700000</v>
      </c>
      <c r="E15" s="390">
        <v>46030</v>
      </c>
      <c r="F15" s="390">
        <v>46210</v>
      </c>
      <c r="G15" s="391" t="s">
        <v>20</v>
      </c>
      <c r="H15" s="391" t="s">
        <v>21</v>
      </c>
      <c r="I15" s="391" t="s">
        <v>22</v>
      </c>
      <c r="J15" s="383" t="s">
        <v>23</v>
      </c>
      <c r="K15" s="392" t="s">
        <v>24</v>
      </c>
      <c r="L15" s="392" t="s">
        <v>25</v>
      </c>
      <c r="M15" s="393" t="s">
        <v>26</v>
      </c>
      <c r="N15" s="379" t="s">
        <v>74</v>
      </c>
      <c r="O15" s="391">
        <v>2170711</v>
      </c>
    </row>
    <row r="16" spans="1:16" ht="27.75" customHeight="1" x14ac:dyDescent="0.35">
      <c r="A16" s="387" t="s">
        <v>75</v>
      </c>
      <c r="B16" s="378" t="s">
        <v>76</v>
      </c>
      <c r="C16" s="388" t="s">
        <v>77</v>
      </c>
      <c r="D16" s="389">
        <v>10075000</v>
      </c>
      <c r="E16" s="390">
        <v>46035</v>
      </c>
      <c r="F16" s="390">
        <v>46211</v>
      </c>
      <c r="G16" s="391" t="s">
        <v>20</v>
      </c>
      <c r="H16" s="391" t="s">
        <v>78</v>
      </c>
      <c r="I16" s="391" t="s">
        <v>79</v>
      </c>
      <c r="J16" s="383" t="s">
        <v>23</v>
      </c>
      <c r="K16" s="392" t="s">
        <v>80</v>
      </c>
      <c r="L16" s="392" t="s">
        <v>81</v>
      </c>
      <c r="M16" s="393" t="s">
        <v>82</v>
      </c>
      <c r="N16" s="379" t="s">
        <v>83</v>
      </c>
      <c r="O16" s="391">
        <v>2170711</v>
      </c>
    </row>
    <row r="17" spans="1:15" ht="27.75" customHeight="1" x14ac:dyDescent="0.35">
      <c r="A17" s="387" t="s">
        <v>84</v>
      </c>
      <c r="B17" s="378" t="s">
        <v>85</v>
      </c>
      <c r="C17" s="388" t="s">
        <v>86</v>
      </c>
      <c r="D17" s="389">
        <v>8240000</v>
      </c>
      <c r="E17" s="390">
        <v>46035</v>
      </c>
      <c r="F17" s="390">
        <v>46211</v>
      </c>
      <c r="G17" s="391" t="s">
        <v>20</v>
      </c>
      <c r="H17" s="391" t="s">
        <v>36</v>
      </c>
      <c r="I17" s="391" t="s">
        <v>87</v>
      </c>
      <c r="J17" s="383" t="s">
        <v>23</v>
      </c>
      <c r="K17" s="392" t="s">
        <v>24</v>
      </c>
      <c r="L17" s="392" t="s">
        <v>25</v>
      </c>
      <c r="M17" s="393" t="s">
        <v>82</v>
      </c>
      <c r="N17" s="379" t="s">
        <v>88</v>
      </c>
      <c r="O17" s="391">
        <v>2170711</v>
      </c>
    </row>
    <row r="18" spans="1:15" ht="27.75" customHeight="1" x14ac:dyDescent="0.35">
      <c r="A18" s="387" t="s">
        <v>89</v>
      </c>
      <c r="B18" s="378" t="s">
        <v>90</v>
      </c>
      <c r="C18" s="388" t="s">
        <v>91</v>
      </c>
      <c r="D18" s="389">
        <v>4300000</v>
      </c>
      <c r="E18" s="390">
        <v>46035</v>
      </c>
      <c r="F18" s="390">
        <v>46210</v>
      </c>
      <c r="G18" s="391" t="s">
        <v>20</v>
      </c>
      <c r="H18" s="391" t="s">
        <v>21</v>
      </c>
      <c r="I18" s="391" t="s">
        <v>22</v>
      </c>
      <c r="J18" s="383" t="s">
        <v>23</v>
      </c>
      <c r="K18" s="392" t="s">
        <v>92</v>
      </c>
      <c r="L18" s="392" t="s">
        <v>93</v>
      </c>
      <c r="M18" s="393" t="s">
        <v>82</v>
      </c>
      <c r="N18" s="379" t="s">
        <v>94</v>
      </c>
      <c r="O18" s="391">
        <v>2170711</v>
      </c>
    </row>
    <row r="19" spans="1:15" ht="27.75" customHeight="1" x14ac:dyDescent="0.35">
      <c r="A19" s="387" t="s">
        <v>95</v>
      </c>
      <c r="B19" s="378" t="s">
        <v>96</v>
      </c>
      <c r="C19" s="388" t="s">
        <v>97</v>
      </c>
      <c r="D19" s="389">
        <v>8240000</v>
      </c>
      <c r="E19" s="390">
        <v>46035</v>
      </c>
      <c r="F19" s="390">
        <v>46210</v>
      </c>
      <c r="G19" s="391" t="s">
        <v>20</v>
      </c>
      <c r="H19" s="391" t="s">
        <v>36</v>
      </c>
      <c r="I19" s="391" t="s">
        <v>87</v>
      </c>
      <c r="J19" s="383" t="s">
        <v>23</v>
      </c>
      <c r="K19" s="392" t="s">
        <v>24</v>
      </c>
      <c r="L19" s="392" t="s">
        <v>25</v>
      </c>
      <c r="M19" s="393" t="s">
        <v>82</v>
      </c>
      <c r="N19" s="379" t="s">
        <v>98</v>
      </c>
      <c r="O19" s="391">
        <v>2170711</v>
      </c>
    </row>
    <row r="20" spans="1:15" ht="27.75" customHeight="1" x14ac:dyDescent="0.35">
      <c r="A20" s="387" t="s">
        <v>99</v>
      </c>
      <c r="B20" s="378" t="s">
        <v>100</v>
      </c>
      <c r="C20" s="388" t="s">
        <v>101</v>
      </c>
      <c r="D20" s="389">
        <v>6180000</v>
      </c>
      <c r="E20" s="390">
        <v>46035</v>
      </c>
      <c r="F20" s="390">
        <v>46210</v>
      </c>
      <c r="G20" s="391" t="s">
        <v>20</v>
      </c>
      <c r="H20" s="391" t="s">
        <v>36</v>
      </c>
      <c r="I20" s="391" t="s">
        <v>37</v>
      </c>
      <c r="J20" s="383" t="s">
        <v>23</v>
      </c>
      <c r="K20" s="392" t="s">
        <v>24</v>
      </c>
      <c r="L20" s="392" t="s">
        <v>25</v>
      </c>
      <c r="M20" s="393" t="s">
        <v>82</v>
      </c>
      <c r="N20" s="379" t="s">
        <v>102</v>
      </c>
      <c r="O20" s="391">
        <v>2170711</v>
      </c>
    </row>
    <row r="21" spans="1:15" ht="27.75" customHeight="1" x14ac:dyDescent="0.35">
      <c r="A21" s="387" t="s">
        <v>103</v>
      </c>
      <c r="B21" s="378" t="s">
        <v>104</v>
      </c>
      <c r="C21" s="388" t="s">
        <v>105</v>
      </c>
      <c r="D21" s="389">
        <v>5500000</v>
      </c>
      <c r="E21" s="390">
        <v>46042</v>
      </c>
      <c r="F21" s="390">
        <v>46211</v>
      </c>
      <c r="G21" s="391" t="s">
        <v>20</v>
      </c>
      <c r="H21" s="391" t="s">
        <v>36</v>
      </c>
      <c r="I21" s="391" t="s">
        <v>106</v>
      </c>
      <c r="J21" s="383" t="s">
        <v>23</v>
      </c>
      <c r="K21" s="392" t="s">
        <v>24</v>
      </c>
      <c r="L21" s="392" t="s">
        <v>25</v>
      </c>
      <c r="M21" s="393" t="s">
        <v>82</v>
      </c>
      <c r="N21" s="379" t="s">
        <v>107</v>
      </c>
      <c r="O21" s="391">
        <v>2170711</v>
      </c>
    </row>
    <row r="22" spans="1:15" ht="27.75" customHeight="1" x14ac:dyDescent="0.35">
      <c r="A22" s="387" t="s">
        <v>108</v>
      </c>
      <c r="B22" s="378" t="s">
        <v>109</v>
      </c>
      <c r="C22" s="388" t="s">
        <v>110</v>
      </c>
      <c r="D22" s="389">
        <v>6180000</v>
      </c>
      <c r="E22" s="390">
        <v>46036</v>
      </c>
      <c r="F22" s="390">
        <v>46211</v>
      </c>
      <c r="G22" s="391" t="s">
        <v>20</v>
      </c>
      <c r="H22" s="391" t="s">
        <v>36</v>
      </c>
      <c r="I22" s="391" t="s">
        <v>37</v>
      </c>
      <c r="J22" s="383" t="s">
        <v>23</v>
      </c>
      <c r="K22" s="392" t="s">
        <v>24</v>
      </c>
      <c r="L22" s="392" t="s">
        <v>25</v>
      </c>
      <c r="M22" s="393" t="s">
        <v>82</v>
      </c>
      <c r="N22" s="379" t="s">
        <v>111</v>
      </c>
      <c r="O22" s="391">
        <v>2170711</v>
      </c>
    </row>
    <row r="23" spans="1:15" ht="27.75" customHeight="1" x14ac:dyDescent="0.35">
      <c r="A23" s="387" t="s">
        <v>112</v>
      </c>
      <c r="B23" s="378" t="s">
        <v>113</v>
      </c>
      <c r="C23" s="388" t="s">
        <v>114</v>
      </c>
      <c r="D23" s="389">
        <v>6180000</v>
      </c>
      <c r="E23" s="390">
        <v>46035</v>
      </c>
      <c r="F23" s="390">
        <v>46210</v>
      </c>
      <c r="G23" s="391" t="s">
        <v>20</v>
      </c>
      <c r="H23" s="391" t="s">
        <v>36</v>
      </c>
      <c r="I23" s="391" t="s">
        <v>37</v>
      </c>
      <c r="J23" s="383" t="s">
        <v>23</v>
      </c>
      <c r="K23" s="392" t="s">
        <v>24</v>
      </c>
      <c r="L23" s="392" t="s">
        <v>25</v>
      </c>
      <c r="M23" s="393" t="s">
        <v>82</v>
      </c>
      <c r="N23" s="379" t="s">
        <v>115</v>
      </c>
      <c r="O23" s="391">
        <v>2170711</v>
      </c>
    </row>
    <row r="24" spans="1:15" ht="27.75" customHeight="1" x14ac:dyDescent="0.35">
      <c r="A24" s="387" t="s">
        <v>116</v>
      </c>
      <c r="B24" s="378" t="s">
        <v>117</v>
      </c>
      <c r="C24" s="388" t="s">
        <v>118</v>
      </c>
      <c r="D24" s="389">
        <v>7200000</v>
      </c>
      <c r="E24" s="390">
        <v>46035</v>
      </c>
      <c r="F24" s="390">
        <v>46211</v>
      </c>
      <c r="G24" s="391" t="s">
        <v>20</v>
      </c>
      <c r="H24" s="391" t="s">
        <v>36</v>
      </c>
      <c r="I24" s="391" t="s">
        <v>119</v>
      </c>
      <c r="J24" s="383" t="s">
        <v>23</v>
      </c>
      <c r="K24" s="392" t="s">
        <v>24</v>
      </c>
      <c r="L24" s="392" t="s">
        <v>25</v>
      </c>
      <c r="M24" s="393" t="s">
        <v>82</v>
      </c>
      <c r="N24" s="379" t="s">
        <v>120</v>
      </c>
      <c r="O24" s="391">
        <v>2170711</v>
      </c>
    </row>
    <row r="25" spans="1:15" ht="27.75" customHeight="1" x14ac:dyDescent="0.35">
      <c r="A25" s="387" t="s">
        <v>121</v>
      </c>
      <c r="B25" s="378" t="s">
        <v>122</v>
      </c>
      <c r="C25" s="388" t="s">
        <v>123</v>
      </c>
      <c r="D25" s="389">
        <v>7210000</v>
      </c>
      <c r="E25" s="390">
        <v>46036</v>
      </c>
      <c r="F25" s="390">
        <v>46211</v>
      </c>
      <c r="G25" s="391" t="s">
        <v>20</v>
      </c>
      <c r="H25" s="391" t="s">
        <v>36</v>
      </c>
      <c r="I25" s="391" t="s">
        <v>119</v>
      </c>
      <c r="J25" s="383" t="s">
        <v>23</v>
      </c>
      <c r="K25" s="392" t="s">
        <v>24</v>
      </c>
      <c r="L25" s="392" t="s">
        <v>25</v>
      </c>
      <c r="M25" s="393" t="s">
        <v>82</v>
      </c>
      <c r="N25" s="379" t="s">
        <v>124</v>
      </c>
      <c r="O25" s="391">
        <v>2170711</v>
      </c>
    </row>
    <row r="26" spans="1:15" ht="27.75" customHeight="1" x14ac:dyDescent="0.35">
      <c r="A26" s="387" t="s">
        <v>125</v>
      </c>
      <c r="B26" s="378" t="s">
        <v>126</v>
      </c>
      <c r="C26" s="388" t="s">
        <v>127</v>
      </c>
      <c r="D26" s="389">
        <v>2200000</v>
      </c>
      <c r="E26" s="390">
        <v>46041</v>
      </c>
      <c r="F26" s="390">
        <v>46211</v>
      </c>
      <c r="G26" s="391" t="s">
        <v>20</v>
      </c>
      <c r="H26" s="391" t="s">
        <v>21</v>
      </c>
      <c r="I26" s="391" t="s">
        <v>57</v>
      </c>
      <c r="J26" s="383" t="s">
        <v>23</v>
      </c>
      <c r="K26" s="392" t="s">
        <v>24</v>
      </c>
      <c r="L26" s="392" t="s">
        <v>25</v>
      </c>
      <c r="M26" s="393" t="s">
        <v>82</v>
      </c>
      <c r="N26" s="379" t="s">
        <v>128</v>
      </c>
      <c r="O26" s="391">
        <v>2170711</v>
      </c>
    </row>
    <row r="27" spans="1:15" ht="27.75" customHeight="1" x14ac:dyDescent="0.35">
      <c r="A27" s="387" t="s">
        <v>129</v>
      </c>
      <c r="B27" s="378" t="s">
        <v>130</v>
      </c>
      <c r="C27" s="388" t="s">
        <v>131</v>
      </c>
      <c r="D27" s="389">
        <v>6000000</v>
      </c>
      <c r="E27" s="390">
        <v>46036</v>
      </c>
      <c r="F27" s="390">
        <v>46221</v>
      </c>
      <c r="G27" s="391" t="s">
        <v>20</v>
      </c>
      <c r="H27" s="391" t="s">
        <v>36</v>
      </c>
      <c r="I27" s="391" t="s">
        <v>37</v>
      </c>
      <c r="J27" s="383" t="s">
        <v>23</v>
      </c>
      <c r="K27" s="392" t="s">
        <v>24</v>
      </c>
      <c r="L27" s="392" t="s">
        <v>25</v>
      </c>
      <c r="M27" s="393" t="s">
        <v>132</v>
      </c>
      <c r="N27" s="379" t="s">
        <v>133</v>
      </c>
      <c r="O27" s="391">
        <v>2170711</v>
      </c>
    </row>
    <row r="28" spans="1:15" ht="27.75" customHeight="1" x14ac:dyDescent="0.35">
      <c r="A28" s="387" t="s">
        <v>134</v>
      </c>
      <c r="B28" s="378" t="s">
        <v>135</v>
      </c>
      <c r="C28" s="388" t="s">
        <v>136</v>
      </c>
      <c r="D28" s="389">
        <v>10000000</v>
      </c>
      <c r="E28" s="390">
        <v>46031</v>
      </c>
      <c r="F28" s="390">
        <v>46210</v>
      </c>
      <c r="G28" s="391" t="s">
        <v>20</v>
      </c>
      <c r="H28" s="391" t="s">
        <v>78</v>
      </c>
      <c r="I28" s="391" t="s">
        <v>79</v>
      </c>
      <c r="J28" s="383" t="s">
        <v>23</v>
      </c>
      <c r="K28" s="392" t="s">
        <v>24</v>
      </c>
      <c r="L28" s="392" t="s">
        <v>25</v>
      </c>
      <c r="M28" s="393" t="s">
        <v>132</v>
      </c>
      <c r="N28" s="379" t="s">
        <v>137</v>
      </c>
      <c r="O28" s="391">
        <v>2170711</v>
      </c>
    </row>
    <row r="29" spans="1:15" ht="27.75" customHeight="1" x14ac:dyDescent="0.35">
      <c r="A29" s="387" t="s">
        <v>138</v>
      </c>
      <c r="B29" s="378" t="s">
        <v>139</v>
      </c>
      <c r="C29" s="388" t="s">
        <v>140</v>
      </c>
      <c r="D29" s="389">
        <v>3000000</v>
      </c>
      <c r="E29" s="390">
        <v>46031</v>
      </c>
      <c r="F29" s="390">
        <v>46211</v>
      </c>
      <c r="G29" s="391" t="s">
        <v>20</v>
      </c>
      <c r="H29" s="391" t="s">
        <v>141</v>
      </c>
      <c r="I29" s="391" t="s">
        <v>69</v>
      </c>
      <c r="J29" s="383" t="s">
        <v>23</v>
      </c>
      <c r="K29" s="392" t="s">
        <v>142</v>
      </c>
      <c r="L29" s="392" t="s">
        <v>143</v>
      </c>
      <c r="M29" s="393" t="s">
        <v>144</v>
      </c>
      <c r="N29" s="379" t="s">
        <v>145</v>
      </c>
      <c r="O29" s="391">
        <v>2170711</v>
      </c>
    </row>
    <row r="30" spans="1:15" ht="27.75" customHeight="1" x14ac:dyDescent="0.35">
      <c r="A30" s="387" t="s">
        <v>146</v>
      </c>
      <c r="B30" s="378" t="s">
        <v>147</v>
      </c>
      <c r="C30" s="388" t="s">
        <v>148</v>
      </c>
      <c r="D30" s="389">
        <v>6194000</v>
      </c>
      <c r="E30" s="390">
        <v>46038</v>
      </c>
      <c r="F30" s="390">
        <v>46210</v>
      </c>
      <c r="G30" s="391" t="s">
        <v>20</v>
      </c>
      <c r="H30" s="391" t="s">
        <v>36</v>
      </c>
      <c r="I30" s="391" t="s">
        <v>37</v>
      </c>
      <c r="J30" s="383" t="s">
        <v>23</v>
      </c>
      <c r="K30" s="392" t="s">
        <v>51</v>
      </c>
      <c r="L30" s="392" t="s">
        <v>149</v>
      </c>
      <c r="M30" s="393" t="s">
        <v>132</v>
      </c>
      <c r="N30" s="379" t="s">
        <v>150</v>
      </c>
      <c r="O30" s="391">
        <v>2170711</v>
      </c>
    </row>
    <row r="31" spans="1:15" ht="27.75" customHeight="1" x14ac:dyDescent="0.35">
      <c r="A31" s="387" t="s">
        <v>151</v>
      </c>
      <c r="B31" s="378" t="s">
        <v>152</v>
      </c>
      <c r="C31" s="388" t="s">
        <v>153</v>
      </c>
      <c r="D31" s="389">
        <v>5800000</v>
      </c>
      <c r="E31" s="390">
        <v>46036</v>
      </c>
      <c r="F31" s="390">
        <v>46210</v>
      </c>
      <c r="G31" s="391" t="s">
        <v>20</v>
      </c>
      <c r="H31" s="391" t="s">
        <v>36</v>
      </c>
      <c r="I31" s="391" t="s">
        <v>106</v>
      </c>
      <c r="J31" s="383" t="s">
        <v>23</v>
      </c>
      <c r="K31" s="392" t="s">
        <v>24</v>
      </c>
      <c r="L31" s="392" t="s">
        <v>25</v>
      </c>
      <c r="M31" s="393" t="s">
        <v>132</v>
      </c>
      <c r="N31" s="379" t="s">
        <v>154</v>
      </c>
      <c r="O31" s="391">
        <v>2170711</v>
      </c>
    </row>
    <row r="32" spans="1:15" ht="27.75" customHeight="1" x14ac:dyDescent="0.35">
      <c r="A32" s="387" t="s">
        <v>155</v>
      </c>
      <c r="B32" s="378" t="s">
        <v>156</v>
      </c>
      <c r="C32" s="388" t="s">
        <v>157</v>
      </c>
      <c r="D32" s="389">
        <v>6000000</v>
      </c>
      <c r="E32" s="390">
        <v>46036</v>
      </c>
      <c r="F32" s="390">
        <v>46210</v>
      </c>
      <c r="G32" s="391" t="s">
        <v>20</v>
      </c>
      <c r="H32" s="391" t="s">
        <v>36</v>
      </c>
      <c r="I32" s="391" t="s">
        <v>37</v>
      </c>
      <c r="J32" s="383" t="s">
        <v>23</v>
      </c>
      <c r="K32" s="392" t="s">
        <v>24</v>
      </c>
      <c r="L32" s="392" t="s">
        <v>25</v>
      </c>
      <c r="M32" s="393" t="s">
        <v>132</v>
      </c>
      <c r="N32" s="379" t="s">
        <v>158</v>
      </c>
      <c r="O32" s="391">
        <v>2170711</v>
      </c>
    </row>
    <row r="33" spans="1:15" ht="27.75" customHeight="1" x14ac:dyDescent="0.35">
      <c r="A33" s="387" t="s">
        <v>159</v>
      </c>
      <c r="B33" s="378" t="s">
        <v>160</v>
      </c>
      <c r="C33" s="388" t="s">
        <v>161</v>
      </c>
      <c r="D33" s="389">
        <v>8258000</v>
      </c>
      <c r="E33" s="390">
        <v>46036</v>
      </c>
      <c r="F33" s="390">
        <v>46210</v>
      </c>
      <c r="G33" s="391" t="s">
        <v>20</v>
      </c>
      <c r="H33" s="391" t="s">
        <v>36</v>
      </c>
      <c r="I33" s="391" t="s">
        <v>87</v>
      </c>
      <c r="J33" s="383" t="s">
        <v>23</v>
      </c>
      <c r="K33" s="392" t="s">
        <v>24</v>
      </c>
      <c r="L33" s="392" t="s">
        <v>25</v>
      </c>
      <c r="M33" s="393" t="s">
        <v>132</v>
      </c>
      <c r="N33" s="379" t="s">
        <v>162</v>
      </c>
      <c r="O33" s="391">
        <v>2170711</v>
      </c>
    </row>
    <row r="34" spans="1:15" ht="27.75" customHeight="1" x14ac:dyDescent="0.35">
      <c r="A34" s="387" t="s">
        <v>163</v>
      </c>
      <c r="B34" s="378" t="s">
        <v>164</v>
      </c>
      <c r="C34" s="388" t="s">
        <v>165</v>
      </c>
      <c r="D34" s="389">
        <v>5665000</v>
      </c>
      <c r="E34" s="390">
        <v>46038</v>
      </c>
      <c r="F34" s="390">
        <v>46210</v>
      </c>
      <c r="G34" s="391" t="s">
        <v>20</v>
      </c>
      <c r="H34" s="391" t="s">
        <v>36</v>
      </c>
      <c r="I34" s="391" t="s">
        <v>106</v>
      </c>
      <c r="J34" s="383" t="s">
        <v>23</v>
      </c>
      <c r="K34" s="392" t="s">
        <v>24</v>
      </c>
      <c r="L34" s="392" t="s">
        <v>25</v>
      </c>
      <c r="M34" s="393" t="s">
        <v>132</v>
      </c>
      <c r="N34" s="379" t="s">
        <v>166</v>
      </c>
      <c r="O34" s="391">
        <v>2170711</v>
      </c>
    </row>
    <row r="35" spans="1:15" ht="27.75" customHeight="1" x14ac:dyDescent="0.35">
      <c r="A35" s="387" t="s">
        <v>167</v>
      </c>
      <c r="B35" s="378" t="s">
        <v>168</v>
      </c>
      <c r="C35" s="388" t="s">
        <v>169</v>
      </c>
      <c r="D35" s="389">
        <v>4542000</v>
      </c>
      <c r="E35" s="390">
        <v>46037</v>
      </c>
      <c r="F35" s="390">
        <v>46210</v>
      </c>
      <c r="G35" s="391" t="s">
        <v>20</v>
      </c>
      <c r="H35" s="391" t="s">
        <v>36</v>
      </c>
      <c r="I35" s="391" t="s">
        <v>170</v>
      </c>
      <c r="J35" s="383" t="s">
        <v>23</v>
      </c>
      <c r="K35" s="392" t="s">
        <v>24</v>
      </c>
      <c r="L35" s="392" t="s">
        <v>25</v>
      </c>
      <c r="M35" s="393" t="s">
        <v>132</v>
      </c>
      <c r="N35" s="379" t="s">
        <v>171</v>
      </c>
      <c r="O35" s="391">
        <v>2170711</v>
      </c>
    </row>
    <row r="36" spans="1:15" ht="27.75" customHeight="1" x14ac:dyDescent="0.35">
      <c r="A36" s="387" t="s">
        <v>172</v>
      </c>
      <c r="B36" s="378" t="s">
        <v>173</v>
      </c>
      <c r="C36" s="388" t="s">
        <v>174</v>
      </c>
      <c r="D36" s="389">
        <v>2890000</v>
      </c>
      <c r="E36" s="390">
        <v>46031</v>
      </c>
      <c r="F36" s="390">
        <v>46211</v>
      </c>
      <c r="G36" s="391" t="s">
        <v>20</v>
      </c>
      <c r="H36" s="391" t="s">
        <v>141</v>
      </c>
      <c r="I36" s="391" t="s">
        <v>69</v>
      </c>
      <c r="J36" s="383" t="s">
        <v>23</v>
      </c>
      <c r="K36" s="392" t="s">
        <v>24</v>
      </c>
      <c r="L36" s="392" t="s">
        <v>175</v>
      </c>
      <c r="M36" s="393" t="s">
        <v>144</v>
      </c>
      <c r="N36" s="379" t="s">
        <v>176</v>
      </c>
      <c r="O36" s="391">
        <v>2170711</v>
      </c>
    </row>
    <row r="37" spans="1:15" ht="27.75" customHeight="1" x14ac:dyDescent="0.35">
      <c r="A37" s="387" t="s">
        <v>177</v>
      </c>
      <c r="B37" s="378" t="s">
        <v>178</v>
      </c>
      <c r="C37" s="388" t="s">
        <v>179</v>
      </c>
      <c r="D37" s="389">
        <v>4480000</v>
      </c>
      <c r="E37" s="390">
        <v>46036</v>
      </c>
      <c r="F37" s="390">
        <v>46215</v>
      </c>
      <c r="G37" s="391" t="s">
        <v>20</v>
      </c>
      <c r="H37" s="391" t="s">
        <v>36</v>
      </c>
      <c r="I37" s="391" t="s">
        <v>170</v>
      </c>
      <c r="J37" s="383" t="s">
        <v>23</v>
      </c>
      <c r="K37" s="392" t="s">
        <v>24</v>
      </c>
      <c r="L37" s="392" t="s">
        <v>25</v>
      </c>
      <c r="M37" s="393" t="s">
        <v>46</v>
      </c>
      <c r="N37" s="379" t="s">
        <v>180</v>
      </c>
      <c r="O37" s="391">
        <v>2170711</v>
      </c>
    </row>
    <row r="38" spans="1:15" ht="27.75" customHeight="1" x14ac:dyDescent="0.35">
      <c r="A38" s="387" t="s">
        <v>181</v>
      </c>
      <c r="B38" s="378" t="s">
        <v>182</v>
      </c>
      <c r="C38" s="388" t="s">
        <v>183</v>
      </c>
      <c r="D38" s="389">
        <v>2895000</v>
      </c>
      <c r="E38" s="390">
        <v>46042</v>
      </c>
      <c r="F38" s="390">
        <v>46215</v>
      </c>
      <c r="G38" s="391" t="s">
        <v>20</v>
      </c>
      <c r="H38" s="391" t="s">
        <v>21</v>
      </c>
      <c r="I38" s="391" t="s">
        <v>57</v>
      </c>
      <c r="J38" s="383" t="s">
        <v>23</v>
      </c>
      <c r="K38" s="392" t="s">
        <v>24</v>
      </c>
      <c r="L38" s="392" t="s">
        <v>25</v>
      </c>
      <c r="M38" s="393" t="s">
        <v>46</v>
      </c>
      <c r="N38" s="379" t="s">
        <v>184</v>
      </c>
      <c r="O38" s="391">
        <v>2170711</v>
      </c>
    </row>
    <row r="39" spans="1:15" ht="27.75" customHeight="1" x14ac:dyDescent="0.35">
      <c r="A39" s="387" t="s">
        <v>185</v>
      </c>
      <c r="B39" s="378" t="s">
        <v>186</v>
      </c>
      <c r="C39" s="388" t="s">
        <v>187</v>
      </c>
      <c r="D39" s="389">
        <v>4100000</v>
      </c>
      <c r="E39" s="390">
        <v>46042</v>
      </c>
      <c r="F39" s="390">
        <v>46215</v>
      </c>
      <c r="G39" s="391" t="s">
        <v>20</v>
      </c>
      <c r="H39" s="391" t="s">
        <v>141</v>
      </c>
      <c r="I39" s="391" t="s">
        <v>31</v>
      </c>
      <c r="J39" s="383" t="s">
        <v>23</v>
      </c>
      <c r="K39" s="392" t="s">
        <v>24</v>
      </c>
      <c r="L39" s="392" t="s">
        <v>25</v>
      </c>
      <c r="M39" s="393" t="s">
        <v>82</v>
      </c>
      <c r="N39" s="379" t="s">
        <v>188</v>
      </c>
      <c r="O39" s="391">
        <v>2170711</v>
      </c>
    </row>
    <row r="40" spans="1:15" ht="27.75" customHeight="1" x14ac:dyDescent="0.35">
      <c r="A40" s="387" t="s">
        <v>189</v>
      </c>
      <c r="B40" s="378" t="s">
        <v>190</v>
      </c>
      <c r="C40" s="388" t="s">
        <v>191</v>
      </c>
      <c r="D40" s="389">
        <v>8240000</v>
      </c>
      <c r="E40" s="390">
        <v>46037</v>
      </c>
      <c r="F40" s="390">
        <v>46215</v>
      </c>
      <c r="G40" s="391" t="s">
        <v>20</v>
      </c>
      <c r="H40" s="391" t="s">
        <v>36</v>
      </c>
      <c r="I40" s="391" t="s">
        <v>87</v>
      </c>
      <c r="J40" s="383" t="s">
        <v>23</v>
      </c>
      <c r="K40" s="392" t="s">
        <v>24</v>
      </c>
      <c r="L40" s="392" t="s">
        <v>25</v>
      </c>
      <c r="M40" s="393" t="s">
        <v>82</v>
      </c>
      <c r="N40" s="379" t="s">
        <v>192</v>
      </c>
      <c r="O40" s="391">
        <v>2170711</v>
      </c>
    </row>
    <row r="41" spans="1:15" ht="27.75" customHeight="1" x14ac:dyDescent="0.35">
      <c r="A41" s="387" t="s">
        <v>193</v>
      </c>
      <c r="B41" s="378" t="s">
        <v>194</v>
      </c>
      <c r="C41" s="388" t="s">
        <v>195</v>
      </c>
      <c r="D41" s="389">
        <v>6180000</v>
      </c>
      <c r="E41" s="390">
        <v>46038</v>
      </c>
      <c r="F41" s="390">
        <v>46215</v>
      </c>
      <c r="G41" s="391" t="s">
        <v>20</v>
      </c>
      <c r="H41" s="391" t="s">
        <v>36</v>
      </c>
      <c r="I41" s="391" t="s">
        <v>37</v>
      </c>
      <c r="J41" s="383" t="s">
        <v>23</v>
      </c>
      <c r="K41" s="392" t="s">
        <v>24</v>
      </c>
      <c r="L41" s="392" t="s">
        <v>25</v>
      </c>
      <c r="M41" s="393" t="s">
        <v>82</v>
      </c>
      <c r="N41" s="379" t="s">
        <v>196</v>
      </c>
      <c r="O41" s="391">
        <v>2170711</v>
      </c>
    </row>
    <row r="42" spans="1:15" ht="27.75" customHeight="1" x14ac:dyDescent="0.35">
      <c r="A42" s="387" t="s">
        <v>197</v>
      </c>
      <c r="B42" s="378" t="s">
        <v>198</v>
      </c>
      <c r="C42" s="388" t="s">
        <v>199</v>
      </c>
      <c r="D42" s="389">
        <v>7426300</v>
      </c>
      <c r="E42" s="390">
        <v>46038</v>
      </c>
      <c r="F42" s="390">
        <v>46215</v>
      </c>
      <c r="G42" s="391" t="s">
        <v>20</v>
      </c>
      <c r="H42" s="391" t="s">
        <v>36</v>
      </c>
      <c r="I42" s="391" t="s">
        <v>119</v>
      </c>
      <c r="J42" s="383" t="s">
        <v>23</v>
      </c>
      <c r="K42" s="392" t="s">
        <v>24</v>
      </c>
      <c r="L42" s="392" t="s">
        <v>25</v>
      </c>
      <c r="M42" s="393" t="s">
        <v>82</v>
      </c>
      <c r="N42" s="379" t="s">
        <v>200</v>
      </c>
      <c r="O42" s="391">
        <v>2170711</v>
      </c>
    </row>
    <row r="43" spans="1:15" ht="27.75" customHeight="1" x14ac:dyDescent="0.35">
      <c r="A43" s="387" t="s">
        <v>201</v>
      </c>
      <c r="B43" s="378" t="s">
        <v>202</v>
      </c>
      <c r="C43" s="388" t="s">
        <v>203</v>
      </c>
      <c r="D43" s="389">
        <v>4120000</v>
      </c>
      <c r="E43" s="390">
        <v>46041</v>
      </c>
      <c r="F43" s="390">
        <v>46215</v>
      </c>
      <c r="G43" s="391" t="s">
        <v>20</v>
      </c>
      <c r="H43" s="391" t="s">
        <v>21</v>
      </c>
      <c r="I43" s="391" t="s">
        <v>22</v>
      </c>
      <c r="J43" s="383" t="s">
        <v>23</v>
      </c>
      <c r="K43" s="392" t="s">
        <v>24</v>
      </c>
      <c r="L43" s="392" t="s">
        <v>25</v>
      </c>
      <c r="M43" s="393" t="s">
        <v>82</v>
      </c>
      <c r="N43" s="379" t="s">
        <v>204</v>
      </c>
      <c r="O43" s="391">
        <v>2170711</v>
      </c>
    </row>
    <row r="44" spans="1:15" ht="27.75" customHeight="1" x14ac:dyDescent="0.35">
      <c r="A44" s="387" t="s">
        <v>205</v>
      </c>
      <c r="B44" s="378" t="s">
        <v>206</v>
      </c>
      <c r="C44" s="388" t="s">
        <v>207</v>
      </c>
      <c r="D44" s="389">
        <v>7725000</v>
      </c>
      <c r="E44" s="390">
        <v>46038</v>
      </c>
      <c r="F44" s="390">
        <v>46217</v>
      </c>
      <c r="G44" s="391" t="s">
        <v>20</v>
      </c>
      <c r="H44" s="391" t="s">
        <v>36</v>
      </c>
      <c r="I44" s="391" t="s">
        <v>119</v>
      </c>
      <c r="J44" s="383" t="s">
        <v>23</v>
      </c>
      <c r="K44" s="392" t="s">
        <v>24</v>
      </c>
      <c r="L44" s="392" t="s">
        <v>25</v>
      </c>
      <c r="M44" s="393" t="s">
        <v>82</v>
      </c>
      <c r="N44" s="379" t="s">
        <v>208</v>
      </c>
      <c r="O44" s="391">
        <v>2170711</v>
      </c>
    </row>
    <row r="45" spans="1:15" ht="27.75" customHeight="1" x14ac:dyDescent="0.35">
      <c r="A45" s="387" t="s">
        <v>209</v>
      </c>
      <c r="B45" s="378" t="s">
        <v>210</v>
      </c>
      <c r="C45" s="388" t="s">
        <v>211</v>
      </c>
      <c r="D45" s="389">
        <v>4500000</v>
      </c>
      <c r="E45" s="390">
        <v>46037</v>
      </c>
      <c r="F45" s="390">
        <v>46217</v>
      </c>
      <c r="G45" s="391" t="s">
        <v>20</v>
      </c>
      <c r="H45" s="391" t="s">
        <v>36</v>
      </c>
      <c r="I45" s="391" t="s">
        <v>170</v>
      </c>
      <c r="J45" s="383" t="s">
        <v>23</v>
      </c>
      <c r="K45" s="392" t="s">
        <v>24</v>
      </c>
      <c r="L45" s="392" t="s">
        <v>25</v>
      </c>
      <c r="M45" s="393" t="s">
        <v>82</v>
      </c>
      <c r="N45" s="379" t="s">
        <v>212</v>
      </c>
      <c r="O45" s="391">
        <v>2170711</v>
      </c>
    </row>
    <row r="46" spans="1:15" ht="27.75" customHeight="1" x14ac:dyDescent="0.35">
      <c r="A46" s="387" t="s">
        <v>213</v>
      </c>
      <c r="B46" s="378" t="s">
        <v>214</v>
      </c>
      <c r="C46" s="388" t="s">
        <v>215</v>
      </c>
      <c r="D46" s="389">
        <v>9270000</v>
      </c>
      <c r="E46" s="390">
        <v>46038</v>
      </c>
      <c r="F46" s="390">
        <v>46217</v>
      </c>
      <c r="G46" s="391" t="s">
        <v>20</v>
      </c>
      <c r="H46" s="391" t="s">
        <v>78</v>
      </c>
      <c r="I46" s="391" t="s">
        <v>216</v>
      </c>
      <c r="J46" s="383" t="s">
        <v>23</v>
      </c>
      <c r="K46" s="392" t="s">
        <v>217</v>
      </c>
      <c r="L46" s="392" t="s">
        <v>218</v>
      </c>
      <c r="M46" s="393" t="s">
        <v>82</v>
      </c>
      <c r="N46" s="379" t="s">
        <v>219</v>
      </c>
      <c r="O46" s="391">
        <v>2170711</v>
      </c>
    </row>
    <row r="47" spans="1:15" ht="27.75" customHeight="1" x14ac:dyDescent="0.35">
      <c r="A47" s="387" t="s">
        <v>220</v>
      </c>
      <c r="B47" s="378" t="s">
        <v>221</v>
      </c>
      <c r="C47" s="388" t="s">
        <v>222</v>
      </c>
      <c r="D47" s="389">
        <v>8240000</v>
      </c>
      <c r="E47" s="390">
        <v>46045</v>
      </c>
      <c r="F47" s="390">
        <v>46217</v>
      </c>
      <c r="G47" s="391" t="s">
        <v>20</v>
      </c>
      <c r="H47" s="391" t="s">
        <v>36</v>
      </c>
      <c r="I47" s="391" t="s">
        <v>87</v>
      </c>
      <c r="J47" s="383" t="s">
        <v>23</v>
      </c>
      <c r="K47" s="392" t="s">
        <v>24</v>
      </c>
      <c r="L47" s="392" t="s">
        <v>25</v>
      </c>
      <c r="M47" s="393" t="s">
        <v>82</v>
      </c>
      <c r="N47" s="379" t="s">
        <v>223</v>
      </c>
      <c r="O47" s="391">
        <v>2170711</v>
      </c>
    </row>
    <row r="48" spans="1:15" ht="27.75" customHeight="1" x14ac:dyDescent="0.35">
      <c r="A48" s="387" t="s">
        <v>224</v>
      </c>
      <c r="B48" s="378" t="s">
        <v>225</v>
      </c>
      <c r="C48" s="388" t="s">
        <v>226</v>
      </c>
      <c r="D48" s="389">
        <v>4000000</v>
      </c>
      <c r="E48" s="390">
        <v>46037</v>
      </c>
      <c r="F48" s="390">
        <v>46216</v>
      </c>
      <c r="G48" s="391" t="s">
        <v>20</v>
      </c>
      <c r="H48" s="391" t="s">
        <v>36</v>
      </c>
      <c r="I48" s="391" t="s">
        <v>170</v>
      </c>
      <c r="J48" s="383" t="s">
        <v>23</v>
      </c>
      <c r="K48" s="392" t="s">
        <v>227</v>
      </c>
      <c r="L48" s="392" t="s">
        <v>228</v>
      </c>
      <c r="M48" s="393" t="s">
        <v>229</v>
      </c>
      <c r="N48" s="379" t="s">
        <v>230</v>
      </c>
      <c r="O48" s="391">
        <v>2170711</v>
      </c>
    </row>
    <row r="49" spans="1:15" ht="27.75" customHeight="1" x14ac:dyDescent="0.35">
      <c r="A49" s="387" t="s">
        <v>231</v>
      </c>
      <c r="B49" s="378" t="s">
        <v>232</v>
      </c>
      <c r="C49" s="388" t="s">
        <v>233</v>
      </c>
      <c r="D49" s="389">
        <v>7426300</v>
      </c>
      <c r="E49" s="390">
        <v>46038</v>
      </c>
      <c r="F49" s="390">
        <v>46217</v>
      </c>
      <c r="G49" s="391" t="s">
        <v>20</v>
      </c>
      <c r="H49" s="391" t="s">
        <v>36</v>
      </c>
      <c r="I49" s="391" t="s">
        <v>119</v>
      </c>
      <c r="J49" s="383" t="s">
        <v>23</v>
      </c>
      <c r="K49" s="392" t="s">
        <v>24</v>
      </c>
      <c r="L49" s="392" t="s">
        <v>25</v>
      </c>
      <c r="M49" s="393" t="s">
        <v>82</v>
      </c>
      <c r="N49" s="379" t="s">
        <v>234</v>
      </c>
      <c r="O49" s="391">
        <v>2170711</v>
      </c>
    </row>
    <row r="50" spans="1:15" ht="27.75" customHeight="1" x14ac:dyDescent="0.35">
      <c r="A50" s="387" t="s">
        <v>235</v>
      </c>
      <c r="B50" s="378" t="s">
        <v>236</v>
      </c>
      <c r="C50" s="388" t="s">
        <v>237</v>
      </c>
      <c r="D50" s="389">
        <v>7210000</v>
      </c>
      <c r="E50" s="390">
        <v>46038</v>
      </c>
      <c r="F50" s="390">
        <v>46217</v>
      </c>
      <c r="G50" s="391" t="s">
        <v>20</v>
      </c>
      <c r="H50" s="391" t="s">
        <v>36</v>
      </c>
      <c r="I50" s="391" t="s">
        <v>119</v>
      </c>
      <c r="J50" s="383" t="s">
        <v>23</v>
      </c>
      <c r="K50" s="392" t="s">
        <v>238</v>
      </c>
      <c r="L50" s="392" t="s">
        <v>239</v>
      </c>
      <c r="M50" s="393" t="s">
        <v>82</v>
      </c>
      <c r="N50" s="379" t="s">
        <v>240</v>
      </c>
      <c r="O50" s="391">
        <v>2170711</v>
      </c>
    </row>
    <row r="51" spans="1:15" ht="27.75" customHeight="1" x14ac:dyDescent="0.35">
      <c r="A51" s="387" t="s">
        <v>241</v>
      </c>
      <c r="B51" s="378" t="s">
        <v>242</v>
      </c>
      <c r="C51" s="388" t="s">
        <v>243</v>
      </c>
      <c r="D51" s="389">
        <v>7955000</v>
      </c>
      <c r="E51" s="390">
        <v>46038</v>
      </c>
      <c r="F51" s="390">
        <v>46216</v>
      </c>
      <c r="G51" s="391" t="s">
        <v>20</v>
      </c>
      <c r="H51" s="391" t="s">
        <v>36</v>
      </c>
      <c r="I51" s="391" t="s">
        <v>87</v>
      </c>
      <c r="J51" s="383" t="s">
        <v>23</v>
      </c>
      <c r="K51" s="392" t="s">
        <v>24</v>
      </c>
      <c r="L51" s="392" t="s">
        <v>25</v>
      </c>
      <c r="M51" s="393" t="s">
        <v>229</v>
      </c>
      <c r="N51" s="379" t="s">
        <v>244</v>
      </c>
      <c r="O51" s="391">
        <v>2170711</v>
      </c>
    </row>
    <row r="52" spans="1:15" ht="27.75" customHeight="1" x14ac:dyDescent="0.35">
      <c r="A52" s="387" t="s">
        <v>245</v>
      </c>
      <c r="B52" s="378" t="s">
        <v>246</v>
      </c>
      <c r="C52" s="388" t="s">
        <v>247</v>
      </c>
      <c r="D52" s="389">
        <v>8800000</v>
      </c>
      <c r="E52" s="390">
        <v>46037</v>
      </c>
      <c r="F52" s="390">
        <v>46217</v>
      </c>
      <c r="G52" s="391" t="s">
        <v>20</v>
      </c>
      <c r="H52" s="391" t="s">
        <v>78</v>
      </c>
      <c r="I52" s="391" t="s">
        <v>216</v>
      </c>
      <c r="J52" s="383" t="s">
        <v>23</v>
      </c>
      <c r="K52" s="392" t="s">
        <v>248</v>
      </c>
      <c r="L52" s="392" t="s">
        <v>249</v>
      </c>
      <c r="M52" s="393" t="s">
        <v>250</v>
      </c>
      <c r="N52" s="379" t="s">
        <v>251</v>
      </c>
      <c r="O52" s="391">
        <v>2170711</v>
      </c>
    </row>
    <row r="53" spans="1:15" ht="27.75" customHeight="1" x14ac:dyDescent="0.35">
      <c r="A53" s="387" t="s">
        <v>252</v>
      </c>
      <c r="B53" s="378" t="s">
        <v>253</v>
      </c>
      <c r="C53" s="388" t="s">
        <v>254</v>
      </c>
      <c r="D53" s="389">
        <v>7210000</v>
      </c>
      <c r="E53" s="390">
        <v>46037</v>
      </c>
      <c r="F53" s="390">
        <v>46217</v>
      </c>
      <c r="G53" s="391" t="s">
        <v>20</v>
      </c>
      <c r="H53" s="391" t="s">
        <v>36</v>
      </c>
      <c r="I53" s="391" t="s">
        <v>119</v>
      </c>
      <c r="J53" s="383" t="s">
        <v>23</v>
      </c>
      <c r="K53" s="392" t="s">
        <v>24</v>
      </c>
      <c r="L53" s="392" t="s">
        <v>25</v>
      </c>
      <c r="M53" s="393" t="s">
        <v>82</v>
      </c>
      <c r="N53" s="379" t="s">
        <v>255</v>
      </c>
      <c r="O53" s="391">
        <v>2170711</v>
      </c>
    </row>
    <row r="54" spans="1:15" ht="27.75" customHeight="1" x14ac:dyDescent="0.35">
      <c r="A54" s="387" t="s">
        <v>256</v>
      </c>
      <c r="B54" s="378" t="s">
        <v>257</v>
      </c>
      <c r="C54" s="388" t="s">
        <v>258</v>
      </c>
      <c r="D54" s="389">
        <v>3200000</v>
      </c>
      <c r="E54" s="390">
        <v>46045</v>
      </c>
      <c r="F54" s="390">
        <v>46216</v>
      </c>
      <c r="G54" s="391" t="s">
        <v>20</v>
      </c>
      <c r="H54" s="391" t="s">
        <v>141</v>
      </c>
      <c r="I54" s="391" t="s">
        <v>69</v>
      </c>
      <c r="J54" s="383" t="s">
        <v>23</v>
      </c>
      <c r="K54" s="392" t="s">
        <v>24</v>
      </c>
      <c r="L54" s="392" t="s">
        <v>25</v>
      </c>
      <c r="M54" s="393" t="s">
        <v>46</v>
      </c>
      <c r="N54" s="379" t="s">
        <v>259</v>
      </c>
      <c r="O54" s="391">
        <v>2170711</v>
      </c>
    </row>
    <row r="55" spans="1:15" ht="27.75" customHeight="1" x14ac:dyDescent="0.35">
      <c r="A55" s="387" t="s">
        <v>260</v>
      </c>
      <c r="B55" s="378" t="s">
        <v>261</v>
      </c>
      <c r="C55" s="388" t="s">
        <v>262</v>
      </c>
      <c r="D55" s="389">
        <v>7500000</v>
      </c>
      <c r="E55" s="390">
        <v>46044</v>
      </c>
      <c r="F55" s="390">
        <v>46216</v>
      </c>
      <c r="G55" s="391" t="s">
        <v>20</v>
      </c>
      <c r="H55" s="391" t="s">
        <v>36</v>
      </c>
      <c r="I55" s="391" t="s">
        <v>119</v>
      </c>
      <c r="J55" s="383" t="s">
        <v>23</v>
      </c>
      <c r="K55" s="392" t="s">
        <v>248</v>
      </c>
      <c r="L55" s="392" t="s">
        <v>263</v>
      </c>
      <c r="M55" s="393" t="s">
        <v>46</v>
      </c>
      <c r="N55" s="379" t="s">
        <v>264</v>
      </c>
      <c r="O55" s="391">
        <v>2170711</v>
      </c>
    </row>
    <row r="56" spans="1:15" ht="27.75" customHeight="1" x14ac:dyDescent="0.35">
      <c r="A56" s="387" t="s">
        <v>265</v>
      </c>
      <c r="B56" s="378" t="s">
        <v>266</v>
      </c>
      <c r="C56" s="388" t="s">
        <v>267</v>
      </c>
      <c r="D56" s="389">
        <v>2560000</v>
      </c>
      <c r="E56" s="390">
        <v>46045</v>
      </c>
      <c r="F56" s="390">
        <v>46216</v>
      </c>
      <c r="G56" s="391" t="s">
        <v>20</v>
      </c>
      <c r="H56" s="391" t="s">
        <v>141</v>
      </c>
      <c r="I56" s="391" t="s">
        <v>22</v>
      </c>
      <c r="J56" s="383" t="s">
        <v>23</v>
      </c>
      <c r="K56" s="392" t="s">
        <v>24</v>
      </c>
      <c r="L56" s="392" t="s">
        <v>25</v>
      </c>
      <c r="M56" s="393" t="s">
        <v>46</v>
      </c>
      <c r="N56" s="379" t="s">
        <v>268</v>
      </c>
      <c r="O56" s="391">
        <v>2170711</v>
      </c>
    </row>
    <row r="57" spans="1:15" ht="27.75" customHeight="1" x14ac:dyDescent="0.35">
      <c r="A57" s="387" t="s">
        <v>269</v>
      </c>
      <c r="B57" s="378" t="s">
        <v>270</v>
      </c>
      <c r="C57" s="388" t="s">
        <v>271</v>
      </c>
      <c r="D57" s="389">
        <v>9144666.666666666</v>
      </c>
      <c r="E57" s="390">
        <v>46042</v>
      </c>
      <c r="F57" s="390">
        <v>46216</v>
      </c>
      <c r="G57" s="391" t="s">
        <v>20</v>
      </c>
      <c r="H57" s="391" t="s">
        <v>78</v>
      </c>
      <c r="I57" s="391" t="s">
        <v>216</v>
      </c>
      <c r="J57" s="383" t="s">
        <v>23</v>
      </c>
      <c r="K57" s="392" t="s">
        <v>24</v>
      </c>
      <c r="L57" s="392" t="s">
        <v>25</v>
      </c>
      <c r="M57" s="393" t="s">
        <v>82</v>
      </c>
      <c r="N57" s="379" t="s">
        <v>272</v>
      </c>
      <c r="O57" s="391">
        <v>2170711</v>
      </c>
    </row>
    <row r="58" spans="1:15" ht="27.75" customHeight="1" x14ac:dyDescent="0.35">
      <c r="A58" s="387" t="s">
        <v>273</v>
      </c>
      <c r="B58" s="378" t="s">
        <v>274</v>
      </c>
      <c r="C58" s="388" t="s">
        <v>275</v>
      </c>
      <c r="D58" s="389">
        <v>8240000</v>
      </c>
      <c r="E58" s="390">
        <v>46041</v>
      </c>
      <c r="F58" s="390">
        <v>46217</v>
      </c>
      <c r="G58" s="391" t="s">
        <v>20</v>
      </c>
      <c r="H58" s="391" t="s">
        <v>36</v>
      </c>
      <c r="I58" s="391" t="s">
        <v>87</v>
      </c>
      <c r="J58" s="383" t="s">
        <v>23</v>
      </c>
      <c r="K58" s="392" t="s">
        <v>24</v>
      </c>
      <c r="L58" s="392" t="s">
        <v>25</v>
      </c>
      <c r="M58" s="393" t="s">
        <v>82</v>
      </c>
      <c r="N58" s="379" t="s">
        <v>276</v>
      </c>
      <c r="O58" s="391">
        <v>2170711</v>
      </c>
    </row>
    <row r="59" spans="1:15" ht="27.75" customHeight="1" x14ac:dyDescent="0.35">
      <c r="A59" s="387" t="s">
        <v>277</v>
      </c>
      <c r="B59" s="378" t="s">
        <v>278</v>
      </c>
      <c r="C59" s="388" t="s">
        <v>279</v>
      </c>
      <c r="D59" s="389">
        <v>8240000</v>
      </c>
      <c r="E59" s="390">
        <v>46041</v>
      </c>
      <c r="F59" s="390">
        <v>46217</v>
      </c>
      <c r="G59" s="391" t="s">
        <v>20</v>
      </c>
      <c r="H59" s="391" t="s">
        <v>36</v>
      </c>
      <c r="I59" s="391" t="s">
        <v>87</v>
      </c>
      <c r="J59" s="383" t="s">
        <v>23</v>
      </c>
      <c r="K59" s="392" t="s">
        <v>24</v>
      </c>
      <c r="L59" s="392" t="s">
        <v>25</v>
      </c>
      <c r="M59" s="393" t="s">
        <v>82</v>
      </c>
      <c r="N59" s="379" t="s">
        <v>280</v>
      </c>
      <c r="O59" s="391">
        <v>2170711</v>
      </c>
    </row>
    <row r="60" spans="1:15" ht="27.75" customHeight="1" x14ac:dyDescent="0.35">
      <c r="A60" s="387" t="s">
        <v>281</v>
      </c>
      <c r="B60" s="378" t="s">
        <v>282</v>
      </c>
      <c r="C60" s="388" t="s">
        <v>283</v>
      </c>
      <c r="D60" s="389">
        <v>4000000</v>
      </c>
      <c r="E60" s="390">
        <v>46041</v>
      </c>
      <c r="F60" s="390">
        <v>46216</v>
      </c>
      <c r="G60" s="391" t="s">
        <v>20</v>
      </c>
      <c r="H60" s="391" t="s">
        <v>141</v>
      </c>
      <c r="I60" s="391" t="s">
        <v>31</v>
      </c>
      <c r="J60" s="383" t="s">
        <v>23</v>
      </c>
      <c r="K60" s="392" t="s">
        <v>24</v>
      </c>
      <c r="L60" s="392" t="s">
        <v>284</v>
      </c>
      <c r="M60" s="393" t="s">
        <v>132</v>
      </c>
      <c r="N60" s="379" t="s">
        <v>285</v>
      </c>
      <c r="O60" s="391">
        <v>2170711</v>
      </c>
    </row>
    <row r="61" spans="1:15" ht="27.75" customHeight="1" x14ac:dyDescent="0.35">
      <c r="A61" s="387" t="s">
        <v>286</v>
      </c>
      <c r="B61" s="378" t="s">
        <v>287</v>
      </c>
      <c r="C61" s="388" t="s">
        <v>288</v>
      </c>
      <c r="D61" s="389">
        <v>7742000</v>
      </c>
      <c r="E61" s="390">
        <v>46041</v>
      </c>
      <c r="F61" s="390">
        <v>46216</v>
      </c>
      <c r="G61" s="391" t="s">
        <v>20</v>
      </c>
      <c r="H61" s="391" t="s">
        <v>36</v>
      </c>
      <c r="I61" s="391" t="s">
        <v>119</v>
      </c>
      <c r="J61" s="383" t="s">
        <v>23</v>
      </c>
      <c r="K61" s="392" t="s">
        <v>24</v>
      </c>
      <c r="L61" s="392" t="s">
        <v>25</v>
      </c>
      <c r="M61" s="393" t="s">
        <v>132</v>
      </c>
      <c r="N61" s="379" t="s">
        <v>289</v>
      </c>
      <c r="O61" s="391">
        <v>2170711</v>
      </c>
    </row>
    <row r="62" spans="1:15" ht="27.75" customHeight="1" x14ac:dyDescent="0.35">
      <c r="A62" s="387" t="s">
        <v>290</v>
      </c>
      <c r="B62" s="378" t="s">
        <v>291</v>
      </c>
      <c r="C62" s="388" t="s">
        <v>292</v>
      </c>
      <c r="D62" s="389">
        <v>7210000</v>
      </c>
      <c r="E62" s="390">
        <v>46041</v>
      </c>
      <c r="F62" s="390">
        <v>46218</v>
      </c>
      <c r="G62" s="391" t="s">
        <v>20</v>
      </c>
      <c r="H62" s="391" t="s">
        <v>36</v>
      </c>
      <c r="I62" s="391" t="s">
        <v>119</v>
      </c>
      <c r="J62" s="383" t="s">
        <v>23</v>
      </c>
      <c r="K62" s="392" t="s">
        <v>248</v>
      </c>
      <c r="L62" s="392" t="s">
        <v>249</v>
      </c>
      <c r="M62" s="393" t="s">
        <v>82</v>
      </c>
      <c r="N62" s="379" t="s">
        <v>293</v>
      </c>
      <c r="O62" s="391">
        <v>2170711</v>
      </c>
    </row>
    <row r="63" spans="1:15" ht="27.75" customHeight="1" x14ac:dyDescent="0.35">
      <c r="A63" s="387" t="s">
        <v>294</v>
      </c>
      <c r="B63" s="378" t="s">
        <v>295</v>
      </c>
      <c r="C63" s="388" t="s">
        <v>296</v>
      </c>
      <c r="D63" s="389">
        <v>3200000</v>
      </c>
      <c r="E63" s="390">
        <v>46038</v>
      </c>
      <c r="F63" s="390">
        <v>46217</v>
      </c>
      <c r="G63" s="391" t="s">
        <v>20</v>
      </c>
      <c r="H63" s="391" t="s">
        <v>141</v>
      </c>
      <c r="I63" s="391" t="s">
        <v>69</v>
      </c>
      <c r="J63" s="383" t="s">
        <v>23</v>
      </c>
      <c r="K63" s="392" t="s">
        <v>63</v>
      </c>
      <c r="L63" s="392" t="s">
        <v>297</v>
      </c>
      <c r="M63" s="393" t="s">
        <v>144</v>
      </c>
      <c r="N63" s="379" t="s">
        <v>298</v>
      </c>
      <c r="O63" s="391">
        <v>2170711</v>
      </c>
    </row>
    <row r="64" spans="1:15" ht="27.75" customHeight="1" x14ac:dyDescent="0.35">
      <c r="A64" s="387" t="s">
        <v>299</v>
      </c>
      <c r="B64" s="378" t="s">
        <v>300</v>
      </c>
      <c r="C64" s="388" t="s">
        <v>301</v>
      </c>
      <c r="D64" s="389">
        <v>6000000</v>
      </c>
      <c r="E64" s="390">
        <v>46037</v>
      </c>
      <c r="F64" s="390">
        <v>46216</v>
      </c>
      <c r="G64" s="391" t="s">
        <v>20</v>
      </c>
      <c r="H64" s="391" t="s">
        <v>36</v>
      </c>
      <c r="I64" s="391" t="s">
        <v>37</v>
      </c>
      <c r="J64" s="383" t="s">
        <v>23</v>
      </c>
      <c r="K64" s="392" t="s">
        <v>24</v>
      </c>
      <c r="L64" s="392" t="s">
        <v>25</v>
      </c>
      <c r="M64" s="393" t="s">
        <v>302</v>
      </c>
      <c r="N64" s="379" t="s">
        <v>303</v>
      </c>
      <c r="O64" s="391">
        <v>2170711</v>
      </c>
    </row>
    <row r="65" spans="1:15" ht="27.75" customHeight="1" x14ac:dyDescent="0.35">
      <c r="A65" s="387" t="s">
        <v>304</v>
      </c>
      <c r="B65" s="378" t="s">
        <v>305</v>
      </c>
      <c r="C65" s="388" t="s">
        <v>306</v>
      </c>
      <c r="D65" s="389">
        <v>7250000</v>
      </c>
      <c r="E65" s="390">
        <v>46037</v>
      </c>
      <c r="F65" s="390">
        <v>46216</v>
      </c>
      <c r="G65" s="391" t="s">
        <v>20</v>
      </c>
      <c r="H65" s="391" t="s">
        <v>36</v>
      </c>
      <c r="I65" s="391" t="s">
        <v>119</v>
      </c>
      <c r="J65" s="383" t="s">
        <v>23</v>
      </c>
      <c r="K65" s="392" t="s">
        <v>24</v>
      </c>
      <c r="L65" s="392" t="s">
        <v>25</v>
      </c>
      <c r="M65" s="393" t="s">
        <v>302</v>
      </c>
      <c r="N65" s="380" t="s">
        <v>307</v>
      </c>
      <c r="O65" s="391">
        <v>2170711</v>
      </c>
    </row>
    <row r="66" spans="1:15" ht="27.75" customHeight="1" x14ac:dyDescent="0.35">
      <c r="A66" s="387" t="s">
        <v>308</v>
      </c>
      <c r="B66" s="378" t="s">
        <v>309</v>
      </c>
      <c r="C66" s="388" t="s">
        <v>310</v>
      </c>
      <c r="D66" s="389">
        <v>5843000</v>
      </c>
      <c r="E66" s="390">
        <v>46037</v>
      </c>
      <c r="F66" s="390">
        <v>46217</v>
      </c>
      <c r="G66" s="391" t="s">
        <v>20</v>
      </c>
      <c r="H66" s="391" t="s">
        <v>36</v>
      </c>
      <c r="I66" s="391" t="s">
        <v>37</v>
      </c>
      <c r="J66" s="383" t="s">
        <v>23</v>
      </c>
      <c r="K66" s="392" t="s">
        <v>227</v>
      </c>
      <c r="L66" s="392" t="s">
        <v>311</v>
      </c>
      <c r="M66" s="393" t="s">
        <v>250</v>
      </c>
      <c r="N66" s="380" t="s">
        <v>312</v>
      </c>
      <c r="O66" s="391">
        <v>2170711</v>
      </c>
    </row>
    <row r="67" spans="1:15" ht="27.75" customHeight="1" x14ac:dyDescent="0.35">
      <c r="A67" s="387" t="s">
        <v>313</v>
      </c>
      <c r="B67" s="378" t="s">
        <v>314</v>
      </c>
      <c r="C67" s="388" t="s">
        <v>315</v>
      </c>
      <c r="D67" s="389">
        <v>8500000</v>
      </c>
      <c r="E67" s="390">
        <v>46038</v>
      </c>
      <c r="F67" s="390">
        <v>46217</v>
      </c>
      <c r="G67" s="391" t="s">
        <v>20</v>
      </c>
      <c r="H67" s="391" t="s">
        <v>36</v>
      </c>
      <c r="I67" s="391" t="s">
        <v>87</v>
      </c>
      <c r="J67" s="383" t="s">
        <v>23</v>
      </c>
      <c r="K67" s="392" t="s">
        <v>51</v>
      </c>
      <c r="L67" s="392" t="s">
        <v>52</v>
      </c>
      <c r="M67" s="393" t="s">
        <v>144</v>
      </c>
      <c r="N67" s="379" t="s">
        <v>316</v>
      </c>
      <c r="O67" s="391">
        <v>2170711</v>
      </c>
    </row>
    <row r="68" spans="1:15" ht="27.75" customHeight="1" x14ac:dyDescent="0.35">
      <c r="A68" s="387" t="s">
        <v>317</v>
      </c>
      <c r="B68" s="378" t="s">
        <v>318</v>
      </c>
      <c r="C68" s="388" t="s">
        <v>319</v>
      </c>
      <c r="D68" s="389">
        <v>2495000</v>
      </c>
      <c r="E68" s="390">
        <v>46043</v>
      </c>
      <c r="F68" s="390">
        <v>46217</v>
      </c>
      <c r="G68" s="391" t="s">
        <v>20</v>
      </c>
      <c r="H68" s="391" t="s">
        <v>141</v>
      </c>
      <c r="I68" s="391" t="s">
        <v>57</v>
      </c>
      <c r="J68" s="383" t="s">
        <v>23</v>
      </c>
      <c r="K68" s="392" t="s">
        <v>63</v>
      </c>
      <c r="L68" s="392" t="s">
        <v>320</v>
      </c>
      <c r="M68" s="393" t="s">
        <v>82</v>
      </c>
      <c r="N68" s="379" t="s">
        <v>321</v>
      </c>
      <c r="O68" s="391">
        <v>2170711</v>
      </c>
    </row>
    <row r="69" spans="1:15" ht="27.75" customHeight="1" x14ac:dyDescent="0.35">
      <c r="A69" s="387" t="s">
        <v>322</v>
      </c>
      <c r="B69" s="378" t="s">
        <v>323</v>
      </c>
      <c r="C69" s="388" t="s">
        <v>324</v>
      </c>
      <c r="D69" s="389">
        <v>3000000</v>
      </c>
      <c r="E69" s="390">
        <v>46041</v>
      </c>
      <c r="F69" s="390">
        <v>46221</v>
      </c>
      <c r="G69" s="391" t="s">
        <v>20</v>
      </c>
      <c r="H69" s="391" t="s">
        <v>36</v>
      </c>
      <c r="I69" s="391" t="s">
        <v>325</v>
      </c>
      <c r="J69" s="383" t="s">
        <v>23</v>
      </c>
      <c r="K69" s="392" t="s">
        <v>24</v>
      </c>
      <c r="L69" s="392" t="s">
        <v>25</v>
      </c>
      <c r="M69" s="393" t="s">
        <v>82</v>
      </c>
      <c r="N69" s="379" t="s">
        <v>326</v>
      </c>
      <c r="O69" s="391">
        <v>2170711</v>
      </c>
    </row>
    <row r="70" spans="1:15" ht="27.75" customHeight="1" x14ac:dyDescent="0.35">
      <c r="A70" s="387" t="s">
        <v>327</v>
      </c>
      <c r="B70" s="378" t="s">
        <v>328</v>
      </c>
      <c r="C70" s="388" t="s">
        <v>62</v>
      </c>
      <c r="D70" s="389">
        <v>10650000</v>
      </c>
      <c r="E70" s="390">
        <v>46041</v>
      </c>
      <c r="F70" s="390">
        <v>46216</v>
      </c>
      <c r="G70" s="391" t="s">
        <v>20</v>
      </c>
      <c r="H70" s="391" t="s">
        <v>78</v>
      </c>
      <c r="I70" s="391" t="s">
        <v>79</v>
      </c>
      <c r="J70" s="383" t="s">
        <v>23</v>
      </c>
      <c r="K70" s="392" t="s">
        <v>24</v>
      </c>
      <c r="L70" s="392" t="s">
        <v>25</v>
      </c>
      <c r="M70" s="393" t="s">
        <v>302</v>
      </c>
      <c r="N70" s="379" t="s">
        <v>329</v>
      </c>
      <c r="O70" s="391">
        <v>2170711</v>
      </c>
    </row>
    <row r="71" spans="1:15" ht="27.75" customHeight="1" x14ac:dyDescent="0.35">
      <c r="A71" s="387" t="s">
        <v>330</v>
      </c>
      <c r="B71" s="378" t="s">
        <v>331</v>
      </c>
      <c r="C71" s="388" t="s">
        <v>332</v>
      </c>
      <c r="D71" s="389">
        <v>8838000</v>
      </c>
      <c r="E71" s="390">
        <v>46041</v>
      </c>
      <c r="F71" s="390">
        <v>46217</v>
      </c>
      <c r="G71" s="391" t="s">
        <v>20</v>
      </c>
      <c r="H71" s="391" t="s">
        <v>78</v>
      </c>
      <c r="I71" s="391" t="s">
        <v>216</v>
      </c>
      <c r="J71" s="383" t="s">
        <v>23</v>
      </c>
      <c r="K71" s="392" t="s">
        <v>24</v>
      </c>
      <c r="L71" s="392" t="s">
        <v>25</v>
      </c>
      <c r="M71" s="393" t="s">
        <v>302</v>
      </c>
      <c r="N71" s="379" t="s">
        <v>333</v>
      </c>
      <c r="O71" s="391">
        <v>2170711</v>
      </c>
    </row>
    <row r="72" spans="1:15" ht="27.75" customHeight="1" x14ac:dyDescent="0.35">
      <c r="A72" s="387" t="s">
        <v>334</v>
      </c>
      <c r="B72" s="378" t="s">
        <v>335</v>
      </c>
      <c r="C72" s="388" t="s">
        <v>336</v>
      </c>
      <c r="D72" s="389">
        <v>10728000</v>
      </c>
      <c r="E72" s="390">
        <v>46039</v>
      </c>
      <c r="F72" s="390">
        <v>46217</v>
      </c>
      <c r="G72" s="391" t="s">
        <v>20</v>
      </c>
      <c r="H72" s="391" t="s">
        <v>78</v>
      </c>
      <c r="I72" s="391" t="s">
        <v>79</v>
      </c>
      <c r="J72" s="383" t="s">
        <v>23</v>
      </c>
      <c r="K72" s="392" t="s">
        <v>24</v>
      </c>
      <c r="L72" s="392" t="s">
        <v>337</v>
      </c>
      <c r="M72" s="393" t="s">
        <v>302</v>
      </c>
      <c r="N72" s="379" t="s">
        <v>338</v>
      </c>
      <c r="O72" s="391">
        <v>2170711</v>
      </c>
    </row>
    <row r="73" spans="1:15" ht="27.75" customHeight="1" x14ac:dyDescent="0.35">
      <c r="A73" s="387" t="s">
        <v>339</v>
      </c>
      <c r="B73" s="378" t="s">
        <v>340</v>
      </c>
      <c r="C73" s="388" t="s">
        <v>341</v>
      </c>
      <c r="D73" s="389">
        <v>9052000</v>
      </c>
      <c r="E73" s="390">
        <v>46039</v>
      </c>
      <c r="F73" s="390">
        <v>46217</v>
      </c>
      <c r="G73" s="391" t="s">
        <v>20</v>
      </c>
      <c r="H73" s="391" t="s">
        <v>78</v>
      </c>
      <c r="I73" s="391" t="s">
        <v>216</v>
      </c>
      <c r="J73" s="383" t="s">
        <v>23</v>
      </c>
      <c r="K73" s="392" t="s">
        <v>24</v>
      </c>
      <c r="L73" s="392" t="s">
        <v>342</v>
      </c>
      <c r="M73" s="393" t="s">
        <v>302</v>
      </c>
      <c r="N73" s="379" t="s">
        <v>343</v>
      </c>
      <c r="O73" s="391">
        <v>2170711</v>
      </c>
    </row>
    <row r="74" spans="1:15" ht="27.75" customHeight="1" x14ac:dyDescent="0.35">
      <c r="A74" s="387" t="s">
        <v>344</v>
      </c>
      <c r="B74" s="378" t="s">
        <v>345</v>
      </c>
      <c r="C74" s="388" t="s">
        <v>346</v>
      </c>
      <c r="D74" s="389">
        <v>6000000</v>
      </c>
      <c r="E74" s="390">
        <v>46042</v>
      </c>
      <c r="F74" s="390">
        <v>46217</v>
      </c>
      <c r="G74" s="391" t="s">
        <v>20</v>
      </c>
      <c r="H74" s="391" t="s">
        <v>36</v>
      </c>
      <c r="I74" s="391" t="s">
        <v>37</v>
      </c>
      <c r="J74" s="383" t="s">
        <v>23</v>
      </c>
      <c r="K74" s="392" t="s">
        <v>217</v>
      </c>
      <c r="L74" s="392" t="s">
        <v>218</v>
      </c>
      <c r="M74" s="393" t="s">
        <v>302</v>
      </c>
      <c r="N74" s="379" t="s">
        <v>347</v>
      </c>
      <c r="O74" s="391">
        <v>2170711</v>
      </c>
    </row>
    <row r="75" spans="1:15" ht="27.75" customHeight="1" x14ac:dyDescent="0.35">
      <c r="A75" s="387" t="s">
        <v>348</v>
      </c>
      <c r="B75" s="378" t="s">
        <v>349</v>
      </c>
      <c r="C75" s="388" t="s">
        <v>350</v>
      </c>
      <c r="D75" s="389">
        <v>7985000</v>
      </c>
      <c r="E75" s="390">
        <v>46042</v>
      </c>
      <c r="F75" s="390">
        <v>46217</v>
      </c>
      <c r="G75" s="391" t="s">
        <v>20</v>
      </c>
      <c r="H75" s="391" t="s">
        <v>36</v>
      </c>
      <c r="I75" s="391" t="s">
        <v>87</v>
      </c>
      <c r="J75" s="383" t="s">
        <v>23</v>
      </c>
      <c r="K75" s="392" t="s">
        <v>24</v>
      </c>
      <c r="L75" s="392" t="s">
        <v>25</v>
      </c>
      <c r="M75" s="393" t="s">
        <v>302</v>
      </c>
      <c r="N75" s="379" t="s">
        <v>351</v>
      </c>
      <c r="O75" s="391">
        <v>2170711</v>
      </c>
    </row>
    <row r="76" spans="1:15" ht="27.75" customHeight="1" x14ac:dyDescent="0.35">
      <c r="A76" s="387" t="s">
        <v>352</v>
      </c>
      <c r="B76" s="378" t="s">
        <v>353</v>
      </c>
      <c r="C76" s="388" t="s">
        <v>354</v>
      </c>
      <c r="D76" s="389">
        <v>8838000</v>
      </c>
      <c r="E76" s="390">
        <v>46041</v>
      </c>
      <c r="F76" s="390">
        <v>46217</v>
      </c>
      <c r="G76" s="391" t="s">
        <v>20</v>
      </c>
      <c r="H76" s="391" t="s">
        <v>78</v>
      </c>
      <c r="I76" s="391" t="s">
        <v>216</v>
      </c>
      <c r="J76" s="383" t="s">
        <v>23</v>
      </c>
      <c r="K76" s="392" t="s">
        <v>24</v>
      </c>
      <c r="L76" s="392" t="s">
        <v>25</v>
      </c>
      <c r="M76" s="393" t="s">
        <v>302</v>
      </c>
      <c r="N76" s="379" t="s">
        <v>355</v>
      </c>
      <c r="O76" s="391">
        <v>2170711</v>
      </c>
    </row>
    <row r="77" spans="1:15" ht="27.75" customHeight="1" x14ac:dyDescent="0.35">
      <c r="A77" s="387" t="s">
        <v>356</v>
      </c>
      <c r="B77" s="378" t="s">
        <v>357</v>
      </c>
      <c r="C77" s="388" t="s">
        <v>358</v>
      </c>
      <c r="D77" s="389">
        <v>4330000</v>
      </c>
      <c r="E77" s="390">
        <v>46039</v>
      </c>
      <c r="F77" s="390">
        <v>46218</v>
      </c>
      <c r="G77" s="391" t="s">
        <v>20</v>
      </c>
      <c r="H77" s="391" t="s">
        <v>21</v>
      </c>
      <c r="I77" s="391" t="s">
        <v>22</v>
      </c>
      <c r="J77" s="383" t="s">
        <v>23</v>
      </c>
      <c r="K77" s="392" t="s">
        <v>24</v>
      </c>
      <c r="L77" s="392" t="s">
        <v>25</v>
      </c>
      <c r="M77" s="393" t="s">
        <v>26</v>
      </c>
      <c r="N77" s="379" t="s">
        <v>359</v>
      </c>
      <c r="O77" s="391">
        <v>2170711</v>
      </c>
    </row>
    <row r="78" spans="1:15" ht="27.75" customHeight="1" x14ac:dyDescent="0.35">
      <c r="A78" s="387" t="s">
        <v>360</v>
      </c>
      <c r="B78" s="378" t="s">
        <v>361</v>
      </c>
      <c r="C78" s="388" t="s">
        <v>362</v>
      </c>
      <c r="D78" s="389">
        <v>5855000</v>
      </c>
      <c r="E78" s="390">
        <v>46041</v>
      </c>
      <c r="F78" s="390">
        <v>46217</v>
      </c>
      <c r="G78" s="391" t="s">
        <v>20</v>
      </c>
      <c r="H78" s="391" t="s">
        <v>36</v>
      </c>
      <c r="I78" s="391" t="s">
        <v>37</v>
      </c>
      <c r="J78" s="383" t="s">
        <v>23</v>
      </c>
      <c r="K78" s="392" t="s">
        <v>363</v>
      </c>
      <c r="L78" s="392" t="s">
        <v>364</v>
      </c>
      <c r="M78" s="393" t="s">
        <v>302</v>
      </c>
      <c r="N78" s="379" t="s">
        <v>365</v>
      </c>
      <c r="O78" s="391">
        <v>2170711</v>
      </c>
    </row>
    <row r="79" spans="1:15" ht="27.75" customHeight="1" x14ac:dyDescent="0.35">
      <c r="A79" s="387" t="s">
        <v>366</v>
      </c>
      <c r="B79" s="378" t="s">
        <v>367</v>
      </c>
      <c r="C79" s="388" t="s">
        <v>368</v>
      </c>
      <c r="D79" s="389">
        <v>8838000</v>
      </c>
      <c r="E79" s="390">
        <v>46041</v>
      </c>
      <c r="F79" s="390">
        <v>46218</v>
      </c>
      <c r="G79" s="391" t="s">
        <v>20</v>
      </c>
      <c r="H79" s="391" t="s">
        <v>78</v>
      </c>
      <c r="I79" s="391" t="s">
        <v>216</v>
      </c>
      <c r="J79" s="383" t="s">
        <v>23</v>
      </c>
      <c r="K79" s="392" t="s">
        <v>369</v>
      </c>
      <c r="L79" s="392" t="s">
        <v>370</v>
      </c>
      <c r="M79" s="393" t="s">
        <v>302</v>
      </c>
      <c r="N79" s="380" t="s">
        <v>371</v>
      </c>
      <c r="O79" s="391">
        <v>2170711</v>
      </c>
    </row>
    <row r="80" spans="1:15" ht="27.75" customHeight="1" x14ac:dyDescent="0.35">
      <c r="A80" s="387" t="s">
        <v>372</v>
      </c>
      <c r="B80" s="378" t="s">
        <v>373</v>
      </c>
      <c r="C80" s="388" t="s">
        <v>374</v>
      </c>
      <c r="D80" s="389">
        <v>8838000</v>
      </c>
      <c r="E80" s="390">
        <v>46044</v>
      </c>
      <c r="F80" s="390">
        <v>46218</v>
      </c>
      <c r="G80" s="391" t="s">
        <v>20</v>
      </c>
      <c r="H80" s="391" t="s">
        <v>78</v>
      </c>
      <c r="I80" s="391" t="s">
        <v>216</v>
      </c>
      <c r="J80" s="383" t="s">
        <v>23</v>
      </c>
      <c r="K80" s="392" t="s">
        <v>375</v>
      </c>
      <c r="L80" s="392" t="s">
        <v>376</v>
      </c>
      <c r="M80" s="393" t="s">
        <v>302</v>
      </c>
      <c r="N80" s="379" t="s">
        <v>377</v>
      </c>
      <c r="O80" s="391">
        <v>2170711</v>
      </c>
    </row>
    <row r="81" spans="1:15" ht="27.75" customHeight="1" x14ac:dyDescent="0.35">
      <c r="A81" s="387" t="s">
        <v>378</v>
      </c>
      <c r="B81" s="378" t="s">
        <v>379</v>
      </c>
      <c r="C81" s="388" t="s">
        <v>380</v>
      </c>
      <c r="D81" s="389">
        <v>6870000</v>
      </c>
      <c r="E81" s="390">
        <v>46042</v>
      </c>
      <c r="F81" s="390">
        <v>46222</v>
      </c>
      <c r="G81" s="391" t="s">
        <v>20</v>
      </c>
      <c r="H81" s="391" t="s">
        <v>36</v>
      </c>
      <c r="I81" s="391" t="s">
        <v>37</v>
      </c>
      <c r="J81" s="383" t="s">
        <v>23</v>
      </c>
      <c r="K81" s="392" t="s">
        <v>24</v>
      </c>
      <c r="L81" s="392" t="s">
        <v>25</v>
      </c>
      <c r="M81" s="393" t="s">
        <v>229</v>
      </c>
      <c r="N81" s="379" t="s">
        <v>381</v>
      </c>
      <c r="O81" s="391">
        <v>2170711</v>
      </c>
    </row>
    <row r="82" spans="1:15" ht="27.75" customHeight="1" x14ac:dyDescent="0.35">
      <c r="A82" s="387" t="s">
        <v>382</v>
      </c>
      <c r="B82" s="378" t="s">
        <v>383</v>
      </c>
      <c r="C82" s="388" t="s">
        <v>384</v>
      </c>
      <c r="D82" s="389">
        <v>5500000</v>
      </c>
      <c r="E82" s="390">
        <v>46043</v>
      </c>
      <c r="F82" s="390">
        <v>46222</v>
      </c>
      <c r="G82" s="391" t="s">
        <v>20</v>
      </c>
      <c r="H82" s="391" t="s">
        <v>36</v>
      </c>
      <c r="I82" s="391" t="s">
        <v>106</v>
      </c>
      <c r="J82" s="383" t="s">
        <v>23</v>
      </c>
      <c r="K82" s="392" t="s">
        <v>24</v>
      </c>
      <c r="L82" s="392" t="s">
        <v>25</v>
      </c>
      <c r="M82" s="393" t="s">
        <v>229</v>
      </c>
      <c r="N82" s="379" t="s">
        <v>385</v>
      </c>
      <c r="O82" s="391">
        <v>2170711</v>
      </c>
    </row>
    <row r="83" spans="1:15" ht="27.75" customHeight="1" x14ac:dyDescent="0.35">
      <c r="A83" s="387" t="s">
        <v>386</v>
      </c>
      <c r="B83" s="378" t="s">
        <v>387</v>
      </c>
      <c r="C83" s="388" t="s">
        <v>388</v>
      </c>
      <c r="D83" s="389">
        <v>5000000</v>
      </c>
      <c r="E83" s="390">
        <v>46042</v>
      </c>
      <c r="F83" s="390">
        <v>46222</v>
      </c>
      <c r="G83" s="391" t="s">
        <v>20</v>
      </c>
      <c r="H83" s="391" t="s">
        <v>36</v>
      </c>
      <c r="I83" s="391" t="s">
        <v>106</v>
      </c>
      <c r="J83" s="383" t="s">
        <v>23</v>
      </c>
      <c r="K83" s="392" t="s">
        <v>24</v>
      </c>
      <c r="L83" s="392" t="s">
        <v>25</v>
      </c>
      <c r="M83" s="393" t="s">
        <v>229</v>
      </c>
      <c r="N83" s="379" t="s">
        <v>389</v>
      </c>
      <c r="O83" s="391">
        <v>2170711</v>
      </c>
    </row>
    <row r="84" spans="1:15" ht="27.75" customHeight="1" x14ac:dyDescent="0.35">
      <c r="A84" s="387" t="s">
        <v>390</v>
      </c>
      <c r="B84" s="378" t="s">
        <v>391</v>
      </c>
      <c r="C84" s="388" t="s">
        <v>392</v>
      </c>
      <c r="D84" s="389">
        <v>5500000</v>
      </c>
      <c r="E84" s="390">
        <v>46042</v>
      </c>
      <c r="F84" s="390">
        <v>46222</v>
      </c>
      <c r="G84" s="391" t="s">
        <v>20</v>
      </c>
      <c r="H84" s="391" t="s">
        <v>36</v>
      </c>
      <c r="I84" s="391" t="s">
        <v>106</v>
      </c>
      <c r="J84" s="383" t="s">
        <v>23</v>
      </c>
      <c r="K84" s="392" t="s">
        <v>24</v>
      </c>
      <c r="L84" s="392" t="s">
        <v>25</v>
      </c>
      <c r="M84" s="393" t="s">
        <v>229</v>
      </c>
      <c r="N84" s="379" t="s">
        <v>393</v>
      </c>
      <c r="O84" s="391">
        <v>2170711</v>
      </c>
    </row>
    <row r="85" spans="1:15" ht="27.75" customHeight="1" x14ac:dyDescent="0.35">
      <c r="A85" s="387" t="s">
        <v>394</v>
      </c>
      <c r="B85" s="378" t="s">
        <v>395</v>
      </c>
      <c r="C85" s="388" t="s">
        <v>396</v>
      </c>
      <c r="D85" s="389">
        <v>7000000</v>
      </c>
      <c r="E85" s="390">
        <v>46042</v>
      </c>
      <c r="F85" s="390">
        <v>46222</v>
      </c>
      <c r="G85" s="391" t="s">
        <v>20</v>
      </c>
      <c r="H85" s="391" t="s">
        <v>36</v>
      </c>
      <c r="I85" s="391" t="s">
        <v>119</v>
      </c>
      <c r="J85" s="383" t="s">
        <v>23</v>
      </c>
      <c r="K85" s="392" t="s">
        <v>24</v>
      </c>
      <c r="L85" s="392" t="s">
        <v>25</v>
      </c>
      <c r="M85" s="393" t="s">
        <v>229</v>
      </c>
      <c r="N85" s="380" t="s">
        <v>397</v>
      </c>
      <c r="O85" s="391">
        <v>2170711</v>
      </c>
    </row>
    <row r="86" spans="1:15" ht="27.75" customHeight="1" x14ac:dyDescent="0.35">
      <c r="A86" s="387" t="s">
        <v>398</v>
      </c>
      <c r="B86" s="378" t="s">
        <v>399</v>
      </c>
      <c r="C86" s="388" t="s">
        <v>400</v>
      </c>
      <c r="D86" s="389">
        <v>5500000</v>
      </c>
      <c r="E86" s="390">
        <v>46042</v>
      </c>
      <c r="F86" s="390">
        <v>46222</v>
      </c>
      <c r="G86" s="391" t="s">
        <v>20</v>
      </c>
      <c r="H86" s="391" t="s">
        <v>36</v>
      </c>
      <c r="I86" s="391" t="s">
        <v>106</v>
      </c>
      <c r="J86" s="383" t="s">
        <v>23</v>
      </c>
      <c r="K86" s="392" t="s">
        <v>401</v>
      </c>
      <c r="L86" s="392" t="s">
        <v>402</v>
      </c>
      <c r="M86" s="393" t="s">
        <v>229</v>
      </c>
      <c r="N86" s="379" t="s">
        <v>403</v>
      </c>
      <c r="O86" s="391">
        <v>2170711</v>
      </c>
    </row>
    <row r="87" spans="1:15" ht="27.75" customHeight="1" x14ac:dyDescent="0.35">
      <c r="A87" s="387" t="s">
        <v>404</v>
      </c>
      <c r="B87" s="378" t="s">
        <v>405</v>
      </c>
      <c r="C87" s="388" t="s">
        <v>406</v>
      </c>
      <c r="D87" s="389">
        <v>6000000</v>
      </c>
      <c r="E87" s="390">
        <v>46042</v>
      </c>
      <c r="F87" s="390">
        <v>46222</v>
      </c>
      <c r="G87" s="391" t="s">
        <v>20</v>
      </c>
      <c r="H87" s="391" t="s">
        <v>36</v>
      </c>
      <c r="I87" s="391" t="s">
        <v>37</v>
      </c>
      <c r="J87" s="383" t="s">
        <v>23</v>
      </c>
      <c r="K87" s="392" t="s">
        <v>24</v>
      </c>
      <c r="L87" s="392" t="s">
        <v>25</v>
      </c>
      <c r="M87" s="393" t="s">
        <v>144</v>
      </c>
      <c r="N87" s="379" t="s">
        <v>407</v>
      </c>
      <c r="O87" s="391">
        <v>2170711</v>
      </c>
    </row>
    <row r="88" spans="1:15" ht="27.75" customHeight="1" x14ac:dyDescent="0.35">
      <c r="A88" s="387" t="s">
        <v>408</v>
      </c>
      <c r="B88" s="378" t="s">
        <v>409</v>
      </c>
      <c r="C88" s="388" t="s">
        <v>410</v>
      </c>
      <c r="D88" s="389">
        <v>6000000</v>
      </c>
      <c r="E88" s="390">
        <v>46041</v>
      </c>
      <c r="F88" s="390">
        <v>46221</v>
      </c>
      <c r="G88" s="391" t="s">
        <v>20</v>
      </c>
      <c r="H88" s="391" t="s">
        <v>36</v>
      </c>
      <c r="I88" s="391" t="s">
        <v>37</v>
      </c>
      <c r="J88" s="383" t="s">
        <v>23</v>
      </c>
      <c r="K88" s="392" t="s">
        <v>24</v>
      </c>
      <c r="L88" s="392" t="s">
        <v>25</v>
      </c>
      <c r="M88" s="393" t="s">
        <v>144</v>
      </c>
      <c r="N88" s="379" t="s">
        <v>411</v>
      </c>
      <c r="O88" s="391">
        <v>2170711</v>
      </c>
    </row>
    <row r="89" spans="1:15" ht="27.75" customHeight="1" x14ac:dyDescent="0.35">
      <c r="A89" s="387" t="s">
        <v>412</v>
      </c>
      <c r="B89" s="378" t="s">
        <v>413</v>
      </c>
      <c r="C89" s="388" t="s">
        <v>414</v>
      </c>
      <c r="D89" s="389">
        <v>7454000</v>
      </c>
      <c r="E89" s="390">
        <v>46041</v>
      </c>
      <c r="F89" s="390">
        <v>46218</v>
      </c>
      <c r="G89" s="391" t="s">
        <v>20</v>
      </c>
      <c r="H89" s="391" t="s">
        <v>36</v>
      </c>
      <c r="I89" s="391" t="s">
        <v>119</v>
      </c>
      <c r="J89" s="383" t="s">
        <v>23</v>
      </c>
      <c r="K89" s="392" t="s">
        <v>24</v>
      </c>
      <c r="L89" s="392" t="s">
        <v>25</v>
      </c>
      <c r="M89" s="393" t="s">
        <v>302</v>
      </c>
      <c r="N89" s="379" t="s">
        <v>415</v>
      </c>
      <c r="O89" s="391">
        <v>2170711</v>
      </c>
    </row>
    <row r="90" spans="1:15" ht="27.75" customHeight="1" x14ac:dyDescent="0.35">
      <c r="A90" s="387" t="s">
        <v>416</v>
      </c>
      <c r="B90" s="378" t="s">
        <v>417</v>
      </c>
      <c r="C90" s="388" t="s">
        <v>418</v>
      </c>
      <c r="D90" s="389">
        <v>8838000</v>
      </c>
      <c r="E90" s="390">
        <v>46041</v>
      </c>
      <c r="F90" s="390">
        <v>46218</v>
      </c>
      <c r="G90" s="391" t="s">
        <v>20</v>
      </c>
      <c r="H90" s="391" t="s">
        <v>78</v>
      </c>
      <c r="I90" s="391" t="s">
        <v>216</v>
      </c>
      <c r="J90" s="383" t="s">
        <v>23</v>
      </c>
      <c r="K90" s="392" t="s">
        <v>24</v>
      </c>
      <c r="L90" s="392" t="s">
        <v>25</v>
      </c>
      <c r="M90" s="393" t="s">
        <v>302</v>
      </c>
      <c r="N90" s="379" t="s">
        <v>419</v>
      </c>
      <c r="O90" s="391">
        <v>2170711</v>
      </c>
    </row>
    <row r="91" spans="1:15" ht="27.75" customHeight="1" x14ac:dyDescent="0.35">
      <c r="A91" s="387" t="s">
        <v>420</v>
      </c>
      <c r="B91" s="378" t="s">
        <v>421</v>
      </c>
      <c r="C91" s="388" t="s">
        <v>422</v>
      </c>
      <c r="D91" s="389">
        <v>7015000</v>
      </c>
      <c r="E91" s="390">
        <v>46043</v>
      </c>
      <c r="F91" s="390">
        <v>46218</v>
      </c>
      <c r="G91" s="391" t="s">
        <v>20</v>
      </c>
      <c r="H91" s="391" t="s">
        <v>36</v>
      </c>
      <c r="I91" s="391" t="s">
        <v>119</v>
      </c>
      <c r="J91" s="383" t="s">
        <v>23</v>
      </c>
      <c r="K91" s="392" t="s">
        <v>24</v>
      </c>
      <c r="L91" s="392" t="s">
        <v>25</v>
      </c>
      <c r="M91" s="393" t="s">
        <v>302</v>
      </c>
      <c r="N91" s="379" t="s">
        <v>423</v>
      </c>
      <c r="O91" s="391">
        <v>2170711</v>
      </c>
    </row>
    <row r="92" spans="1:15" ht="27.75" customHeight="1" x14ac:dyDescent="0.35">
      <c r="A92" s="387" t="s">
        <v>424</v>
      </c>
      <c r="B92" s="378" t="s">
        <v>425</v>
      </c>
      <c r="C92" s="388" t="s">
        <v>426</v>
      </c>
      <c r="D92" s="389">
        <v>2662000</v>
      </c>
      <c r="E92" s="390">
        <v>46041</v>
      </c>
      <c r="F92" s="390">
        <v>46218</v>
      </c>
      <c r="G92" s="391" t="s">
        <v>20</v>
      </c>
      <c r="H92" s="391" t="s">
        <v>141</v>
      </c>
      <c r="I92" s="391" t="s">
        <v>22</v>
      </c>
      <c r="J92" s="383" t="s">
        <v>23</v>
      </c>
      <c r="K92" s="392" t="s">
        <v>24</v>
      </c>
      <c r="L92" s="392" t="s">
        <v>25</v>
      </c>
      <c r="M92" s="393" t="s">
        <v>302</v>
      </c>
      <c r="N92" s="380" t="s">
        <v>427</v>
      </c>
      <c r="O92" s="391">
        <v>2170711</v>
      </c>
    </row>
    <row r="93" spans="1:15" ht="27.75" customHeight="1" x14ac:dyDescent="0.35">
      <c r="A93" s="387" t="s">
        <v>428</v>
      </c>
      <c r="B93" s="378" t="s">
        <v>429</v>
      </c>
      <c r="C93" s="388" t="s">
        <v>426</v>
      </c>
      <c r="D93" s="389">
        <v>2662000</v>
      </c>
      <c r="E93" s="390">
        <v>46043</v>
      </c>
      <c r="F93" s="390">
        <v>46221</v>
      </c>
      <c r="G93" s="391" t="s">
        <v>20</v>
      </c>
      <c r="H93" s="391" t="s">
        <v>141</v>
      </c>
      <c r="I93" s="391" t="s">
        <v>22</v>
      </c>
      <c r="J93" s="383" t="s">
        <v>23</v>
      </c>
      <c r="K93" s="392" t="s">
        <v>24</v>
      </c>
      <c r="L93" s="392" t="s">
        <v>25</v>
      </c>
      <c r="M93" s="393" t="s">
        <v>302</v>
      </c>
      <c r="N93" s="379" t="s">
        <v>430</v>
      </c>
      <c r="O93" s="391">
        <v>2170711</v>
      </c>
    </row>
    <row r="94" spans="1:15" ht="27.75" customHeight="1" x14ac:dyDescent="0.35">
      <c r="A94" s="387" t="s">
        <v>431</v>
      </c>
      <c r="B94" s="378" t="s">
        <v>432</v>
      </c>
      <c r="C94" s="388" t="s">
        <v>433</v>
      </c>
      <c r="D94" s="389">
        <v>6180000</v>
      </c>
      <c r="E94" s="390">
        <v>46042</v>
      </c>
      <c r="F94" s="390">
        <v>46222</v>
      </c>
      <c r="G94" s="391" t="s">
        <v>20</v>
      </c>
      <c r="H94" s="391" t="s">
        <v>36</v>
      </c>
      <c r="I94" s="391" t="s">
        <v>37</v>
      </c>
      <c r="J94" s="383" t="s">
        <v>23</v>
      </c>
      <c r="K94" s="392" t="s">
        <v>24</v>
      </c>
      <c r="L94" s="392" t="s">
        <v>434</v>
      </c>
      <c r="M94" s="393" t="s">
        <v>82</v>
      </c>
      <c r="N94" s="379" t="s">
        <v>435</v>
      </c>
      <c r="O94" s="391">
        <v>2170711</v>
      </c>
    </row>
    <row r="95" spans="1:15" ht="27.75" customHeight="1" x14ac:dyDescent="0.35">
      <c r="A95" s="387" t="s">
        <v>436</v>
      </c>
      <c r="B95" s="378" t="s">
        <v>437</v>
      </c>
      <c r="C95" s="388" t="s">
        <v>438</v>
      </c>
      <c r="D95" s="389">
        <v>6000000</v>
      </c>
      <c r="E95" s="390">
        <v>46043</v>
      </c>
      <c r="F95" s="390">
        <v>46222</v>
      </c>
      <c r="G95" s="391" t="s">
        <v>20</v>
      </c>
      <c r="H95" s="391" t="s">
        <v>36</v>
      </c>
      <c r="I95" s="391" t="s">
        <v>37</v>
      </c>
      <c r="J95" s="383" t="s">
        <v>23</v>
      </c>
      <c r="K95" s="392" t="s">
        <v>24</v>
      </c>
      <c r="L95" s="392" t="s">
        <v>25</v>
      </c>
      <c r="M95" s="393" t="s">
        <v>82</v>
      </c>
      <c r="N95" s="379" t="s">
        <v>439</v>
      </c>
      <c r="O95" s="391">
        <v>2170711</v>
      </c>
    </row>
    <row r="96" spans="1:15" ht="27.75" customHeight="1" x14ac:dyDescent="0.35">
      <c r="A96" s="387" t="s">
        <v>440</v>
      </c>
      <c r="B96" s="378" t="s">
        <v>441</v>
      </c>
      <c r="C96" s="388" t="s">
        <v>442</v>
      </c>
      <c r="D96" s="389">
        <v>3000000</v>
      </c>
      <c r="E96" s="390">
        <v>46045</v>
      </c>
      <c r="F96" s="390">
        <v>46224</v>
      </c>
      <c r="G96" s="391" t="s">
        <v>20</v>
      </c>
      <c r="H96" s="391" t="s">
        <v>36</v>
      </c>
      <c r="I96" s="391" t="s">
        <v>325</v>
      </c>
      <c r="J96" s="383" t="s">
        <v>23</v>
      </c>
      <c r="K96" s="392" t="s">
        <v>369</v>
      </c>
      <c r="L96" s="392" t="s">
        <v>443</v>
      </c>
      <c r="M96" s="393" t="s">
        <v>82</v>
      </c>
      <c r="N96" s="379" t="s">
        <v>444</v>
      </c>
      <c r="O96" s="391">
        <v>2170711</v>
      </c>
    </row>
    <row r="97" spans="1:15" ht="27.75" customHeight="1" x14ac:dyDescent="0.35">
      <c r="A97" s="387" t="s">
        <v>445</v>
      </c>
      <c r="B97" s="378" t="s">
        <v>446</v>
      </c>
      <c r="C97" s="388" t="s">
        <v>447</v>
      </c>
      <c r="D97" s="389">
        <v>7220000</v>
      </c>
      <c r="E97" s="390">
        <v>46044</v>
      </c>
      <c r="F97" s="390">
        <v>46224</v>
      </c>
      <c r="G97" s="391" t="s">
        <v>20</v>
      </c>
      <c r="H97" s="391" t="s">
        <v>36</v>
      </c>
      <c r="I97" s="391" t="s">
        <v>119</v>
      </c>
      <c r="J97" s="383" t="s">
        <v>23</v>
      </c>
      <c r="K97" s="392" t="s">
        <v>24</v>
      </c>
      <c r="L97" s="392" t="s">
        <v>25</v>
      </c>
      <c r="M97" s="393" t="s">
        <v>26</v>
      </c>
      <c r="N97" s="379" t="s">
        <v>448</v>
      </c>
      <c r="O97" s="391">
        <v>2170711</v>
      </c>
    </row>
    <row r="98" spans="1:15" ht="27.75" customHeight="1" x14ac:dyDescent="0.35">
      <c r="A98" s="387" t="s">
        <v>449</v>
      </c>
      <c r="B98" s="378" t="s">
        <v>450</v>
      </c>
      <c r="C98" s="388" t="s">
        <v>451</v>
      </c>
      <c r="D98" s="389">
        <v>5500000</v>
      </c>
      <c r="E98" s="390">
        <v>46044</v>
      </c>
      <c r="F98" s="390">
        <v>46224</v>
      </c>
      <c r="G98" s="391" t="s">
        <v>20</v>
      </c>
      <c r="H98" s="391" t="s">
        <v>36</v>
      </c>
      <c r="I98" s="391" t="s">
        <v>106</v>
      </c>
      <c r="J98" s="383" t="s">
        <v>23</v>
      </c>
      <c r="K98" s="392" t="s">
        <v>24</v>
      </c>
      <c r="L98" s="392" t="s">
        <v>25</v>
      </c>
      <c r="M98" s="393" t="s">
        <v>26</v>
      </c>
      <c r="N98" s="379" t="s">
        <v>452</v>
      </c>
      <c r="O98" s="391">
        <v>2170711</v>
      </c>
    </row>
    <row r="99" spans="1:15" ht="27.75" customHeight="1" x14ac:dyDescent="0.35">
      <c r="A99" s="387" t="s">
        <v>453</v>
      </c>
      <c r="B99" s="378" t="s">
        <v>454</v>
      </c>
      <c r="C99" s="388" t="s">
        <v>455</v>
      </c>
      <c r="D99" s="389">
        <v>5315000</v>
      </c>
      <c r="E99" s="390">
        <v>46044</v>
      </c>
      <c r="F99" s="390">
        <v>46225</v>
      </c>
      <c r="G99" s="391" t="s">
        <v>20</v>
      </c>
      <c r="H99" s="391" t="s">
        <v>36</v>
      </c>
      <c r="I99" s="391" t="s">
        <v>106</v>
      </c>
      <c r="J99" s="383" t="s">
        <v>23</v>
      </c>
      <c r="K99" s="392" t="s">
        <v>24</v>
      </c>
      <c r="L99" s="392" t="s">
        <v>25</v>
      </c>
      <c r="M99" s="393" t="s">
        <v>26</v>
      </c>
      <c r="N99" s="379" t="s">
        <v>456</v>
      </c>
      <c r="O99" s="391">
        <v>2170711</v>
      </c>
    </row>
    <row r="100" spans="1:15" ht="27.75" customHeight="1" x14ac:dyDescent="0.35">
      <c r="A100" s="387" t="s">
        <v>457</v>
      </c>
      <c r="B100" s="378" t="s">
        <v>458</v>
      </c>
      <c r="C100" s="388" t="s">
        <v>459</v>
      </c>
      <c r="D100" s="389">
        <v>6194000</v>
      </c>
      <c r="E100" s="390">
        <v>46043</v>
      </c>
      <c r="F100" s="390">
        <v>46221</v>
      </c>
      <c r="G100" s="391" t="s">
        <v>20</v>
      </c>
      <c r="H100" s="391" t="s">
        <v>36</v>
      </c>
      <c r="I100" s="391" t="s">
        <v>37</v>
      </c>
      <c r="J100" s="383" t="s">
        <v>23</v>
      </c>
      <c r="K100" s="392" t="s">
        <v>51</v>
      </c>
      <c r="L100" s="392" t="s">
        <v>460</v>
      </c>
      <c r="M100" s="393" t="s">
        <v>132</v>
      </c>
      <c r="N100" s="379" t="s">
        <v>461</v>
      </c>
      <c r="O100" s="391">
        <v>2170711</v>
      </c>
    </row>
    <row r="101" spans="1:15" ht="27.75" customHeight="1" x14ac:dyDescent="0.35">
      <c r="A101" s="387" t="s">
        <v>462</v>
      </c>
      <c r="B101" s="378" t="s">
        <v>463</v>
      </c>
      <c r="C101" s="388" t="s">
        <v>464</v>
      </c>
      <c r="D101" s="389">
        <v>6500000</v>
      </c>
      <c r="E101" s="390">
        <v>46042</v>
      </c>
      <c r="F101" s="390">
        <v>46221</v>
      </c>
      <c r="G101" s="391" t="s">
        <v>20</v>
      </c>
      <c r="H101" s="391" t="s">
        <v>36</v>
      </c>
      <c r="I101" s="391" t="s">
        <v>37</v>
      </c>
      <c r="J101" s="383" t="s">
        <v>23</v>
      </c>
      <c r="K101" s="392" t="s">
        <v>51</v>
      </c>
      <c r="L101" s="392" t="s">
        <v>52</v>
      </c>
      <c r="M101" s="393" t="s">
        <v>132</v>
      </c>
      <c r="N101" s="379" t="s">
        <v>465</v>
      </c>
      <c r="O101" s="391">
        <v>2170711</v>
      </c>
    </row>
    <row r="102" spans="1:15" ht="27.75" customHeight="1" x14ac:dyDescent="0.35">
      <c r="A102" s="387" t="s">
        <v>466</v>
      </c>
      <c r="B102" s="378" t="s">
        <v>467</v>
      </c>
      <c r="C102" s="388" t="s">
        <v>468</v>
      </c>
      <c r="D102" s="389">
        <v>5365000</v>
      </c>
      <c r="E102" s="390">
        <v>46044</v>
      </c>
      <c r="F102" s="390">
        <v>46221</v>
      </c>
      <c r="G102" s="391" t="s">
        <v>20</v>
      </c>
      <c r="H102" s="391" t="s">
        <v>36</v>
      </c>
      <c r="I102" s="391" t="s">
        <v>106</v>
      </c>
      <c r="J102" s="383" t="s">
        <v>23</v>
      </c>
      <c r="K102" s="392" t="s">
        <v>24</v>
      </c>
      <c r="L102" s="392" t="s">
        <v>25</v>
      </c>
      <c r="M102" s="393" t="s">
        <v>302</v>
      </c>
      <c r="N102" s="379" t="s">
        <v>469</v>
      </c>
      <c r="O102" s="391">
        <v>2170711</v>
      </c>
    </row>
    <row r="103" spans="1:15" ht="27.75" customHeight="1" x14ac:dyDescent="0.35">
      <c r="A103" s="387" t="s">
        <v>470</v>
      </c>
      <c r="B103" s="378" t="s">
        <v>471</v>
      </c>
      <c r="C103" s="388" t="s">
        <v>472</v>
      </c>
      <c r="D103" s="389">
        <v>10500000</v>
      </c>
      <c r="E103" s="390">
        <v>46044</v>
      </c>
      <c r="F103" s="390">
        <v>46224</v>
      </c>
      <c r="G103" s="391" t="s">
        <v>20</v>
      </c>
      <c r="H103" s="391" t="s">
        <v>78</v>
      </c>
      <c r="I103" s="391" t="s">
        <v>473</v>
      </c>
      <c r="J103" s="383" t="s">
        <v>23</v>
      </c>
      <c r="K103" s="392" t="s">
        <v>24</v>
      </c>
      <c r="L103" s="392" t="s">
        <v>25</v>
      </c>
      <c r="M103" s="393" t="s">
        <v>26</v>
      </c>
      <c r="N103" s="379" t="s">
        <v>474</v>
      </c>
      <c r="O103" s="391">
        <v>2170711</v>
      </c>
    </row>
    <row r="104" spans="1:15" ht="27.75" customHeight="1" x14ac:dyDescent="0.35">
      <c r="A104" s="387" t="s">
        <v>475</v>
      </c>
      <c r="B104" s="378" t="s">
        <v>476</v>
      </c>
      <c r="C104" s="388" t="s">
        <v>477</v>
      </c>
      <c r="D104" s="389">
        <v>5675000</v>
      </c>
      <c r="E104" s="390">
        <v>46044</v>
      </c>
      <c r="F104" s="390">
        <v>46225</v>
      </c>
      <c r="G104" s="391" t="s">
        <v>20</v>
      </c>
      <c r="H104" s="391" t="s">
        <v>36</v>
      </c>
      <c r="I104" s="391" t="s">
        <v>106</v>
      </c>
      <c r="J104" s="383" t="s">
        <v>23</v>
      </c>
      <c r="K104" s="392" t="s">
        <v>24</v>
      </c>
      <c r="L104" s="392" t="s">
        <v>25</v>
      </c>
      <c r="M104" s="393" t="s">
        <v>26</v>
      </c>
      <c r="N104" s="379" t="s">
        <v>478</v>
      </c>
      <c r="O104" s="391">
        <v>2170711</v>
      </c>
    </row>
    <row r="105" spans="1:15" ht="27.75" customHeight="1" x14ac:dyDescent="0.35">
      <c r="A105" s="387" t="s">
        <v>479</v>
      </c>
      <c r="B105" s="378" t="s">
        <v>480</v>
      </c>
      <c r="C105" s="388" t="s">
        <v>481</v>
      </c>
      <c r="D105" s="389">
        <v>3700000</v>
      </c>
      <c r="E105" s="390">
        <v>46042</v>
      </c>
      <c r="F105" s="390">
        <v>46222</v>
      </c>
      <c r="G105" s="391" t="s">
        <v>20</v>
      </c>
      <c r="H105" s="391" t="s">
        <v>141</v>
      </c>
      <c r="I105" s="391" t="s">
        <v>31</v>
      </c>
      <c r="J105" s="383" t="s">
        <v>23</v>
      </c>
      <c r="K105" s="392" t="s">
        <v>24</v>
      </c>
      <c r="L105" s="392" t="s">
        <v>25</v>
      </c>
      <c r="M105" s="393" t="s">
        <v>26</v>
      </c>
      <c r="N105" s="379" t="s">
        <v>482</v>
      </c>
      <c r="O105" s="391">
        <v>2170711</v>
      </c>
    </row>
    <row r="106" spans="1:15" ht="27.75" customHeight="1" x14ac:dyDescent="0.35">
      <c r="A106" s="387" t="s">
        <v>483</v>
      </c>
      <c r="B106" s="378" t="s">
        <v>484</v>
      </c>
      <c r="C106" s="388" t="s">
        <v>485</v>
      </c>
      <c r="D106" s="389">
        <v>4675000</v>
      </c>
      <c r="E106" s="390">
        <v>46045</v>
      </c>
      <c r="F106" s="390">
        <v>46225</v>
      </c>
      <c r="G106" s="391" t="s">
        <v>20</v>
      </c>
      <c r="H106" s="391" t="s">
        <v>36</v>
      </c>
      <c r="I106" s="391" t="s">
        <v>486</v>
      </c>
      <c r="J106" s="383" t="s">
        <v>23</v>
      </c>
      <c r="K106" s="392" t="s">
        <v>24</v>
      </c>
      <c r="L106" s="392" t="s">
        <v>25</v>
      </c>
      <c r="M106" s="393" t="s">
        <v>26</v>
      </c>
      <c r="N106" s="379" t="s">
        <v>487</v>
      </c>
      <c r="O106" s="391">
        <v>2170711</v>
      </c>
    </row>
    <row r="107" spans="1:15" ht="27.75" customHeight="1" x14ac:dyDescent="0.35">
      <c r="A107" s="387" t="s">
        <v>488</v>
      </c>
      <c r="B107" s="378" t="s">
        <v>489</v>
      </c>
      <c r="C107" s="388" t="s">
        <v>490</v>
      </c>
      <c r="D107" s="389">
        <v>3700000</v>
      </c>
      <c r="E107" s="390">
        <v>46044</v>
      </c>
      <c r="F107" s="390">
        <v>46222</v>
      </c>
      <c r="G107" s="391" t="s">
        <v>20</v>
      </c>
      <c r="H107" s="391" t="s">
        <v>36</v>
      </c>
      <c r="I107" s="391" t="s">
        <v>325</v>
      </c>
      <c r="J107" s="383" t="s">
        <v>23</v>
      </c>
      <c r="K107" s="392" t="s">
        <v>24</v>
      </c>
      <c r="L107" s="392" t="s">
        <v>25</v>
      </c>
      <c r="M107" s="393" t="s">
        <v>26</v>
      </c>
      <c r="N107" s="379" t="s">
        <v>491</v>
      </c>
      <c r="O107" s="391">
        <v>2170711</v>
      </c>
    </row>
    <row r="108" spans="1:15" ht="27.75" customHeight="1" x14ac:dyDescent="0.35">
      <c r="A108" s="387" t="s">
        <v>492</v>
      </c>
      <c r="B108" s="378" t="s">
        <v>493</v>
      </c>
      <c r="C108" s="388" t="s">
        <v>494</v>
      </c>
      <c r="D108" s="389">
        <v>8000000</v>
      </c>
      <c r="E108" s="390">
        <v>46048</v>
      </c>
      <c r="F108" s="390">
        <v>46234</v>
      </c>
      <c r="G108" s="391" t="s">
        <v>20</v>
      </c>
      <c r="H108" s="391" t="s">
        <v>36</v>
      </c>
      <c r="I108" s="391" t="s">
        <v>87</v>
      </c>
      <c r="J108" s="383" t="s">
        <v>23</v>
      </c>
      <c r="K108" s="392" t="s">
        <v>363</v>
      </c>
      <c r="L108" s="392" t="s">
        <v>364</v>
      </c>
      <c r="M108" s="393" t="s">
        <v>26</v>
      </c>
      <c r="N108" s="379" t="s">
        <v>495</v>
      </c>
      <c r="O108" s="391">
        <v>2170711</v>
      </c>
    </row>
    <row r="109" spans="1:15" ht="27.75" customHeight="1" x14ac:dyDescent="0.35">
      <c r="A109" s="387" t="s">
        <v>496</v>
      </c>
      <c r="B109" s="378" t="s">
        <v>497</v>
      </c>
      <c r="C109" s="388" t="s">
        <v>498</v>
      </c>
      <c r="D109" s="389">
        <v>8000000</v>
      </c>
      <c r="E109" s="390">
        <v>46044</v>
      </c>
      <c r="F109" s="390">
        <v>46225</v>
      </c>
      <c r="G109" s="391" t="s">
        <v>20</v>
      </c>
      <c r="H109" s="391" t="s">
        <v>36</v>
      </c>
      <c r="I109" s="391" t="s">
        <v>87</v>
      </c>
      <c r="J109" s="383" t="s">
        <v>23</v>
      </c>
      <c r="K109" s="392" t="s">
        <v>24</v>
      </c>
      <c r="L109" s="392" t="s">
        <v>25</v>
      </c>
      <c r="M109" s="393" t="s">
        <v>26</v>
      </c>
      <c r="N109" s="379" t="s">
        <v>499</v>
      </c>
      <c r="O109" s="391">
        <v>2170711</v>
      </c>
    </row>
    <row r="110" spans="1:15" ht="27.75" customHeight="1" x14ac:dyDescent="0.35">
      <c r="A110" s="387" t="s">
        <v>500</v>
      </c>
      <c r="B110" s="378" t="s">
        <v>501</v>
      </c>
      <c r="C110" s="388" t="s">
        <v>502</v>
      </c>
      <c r="D110" s="389">
        <v>10000000</v>
      </c>
      <c r="E110" s="390">
        <v>46048</v>
      </c>
      <c r="F110" s="390">
        <v>46234</v>
      </c>
      <c r="G110" s="391" t="s">
        <v>20</v>
      </c>
      <c r="H110" s="391" t="s">
        <v>78</v>
      </c>
      <c r="I110" s="391" t="s">
        <v>473</v>
      </c>
      <c r="J110" s="383" t="s">
        <v>23</v>
      </c>
      <c r="K110" s="392" t="s">
        <v>51</v>
      </c>
      <c r="L110" s="392" t="s">
        <v>52</v>
      </c>
      <c r="M110" s="393" t="s">
        <v>26</v>
      </c>
      <c r="N110" s="379" t="s">
        <v>503</v>
      </c>
      <c r="O110" s="391">
        <v>2170711</v>
      </c>
    </row>
    <row r="111" spans="1:15" ht="27.75" customHeight="1" x14ac:dyDescent="0.35">
      <c r="A111" s="387" t="s">
        <v>504</v>
      </c>
      <c r="B111" s="378" t="s">
        <v>505</v>
      </c>
      <c r="C111" s="388" t="s">
        <v>506</v>
      </c>
      <c r="D111" s="389">
        <v>8000000</v>
      </c>
      <c r="E111" s="390">
        <v>46048</v>
      </c>
      <c r="F111" s="390">
        <v>46227</v>
      </c>
      <c r="G111" s="391" t="s">
        <v>20</v>
      </c>
      <c r="H111" s="391" t="s">
        <v>36</v>
      </c>
      <c r="I111" s="391" t="s">
        <v>87</v>
      </c>
      <c r="J111" s="383" t="s">
        <v>23</v>
      </c>
      <c r="K111" s="392" t="s">
        <v>63</v>
      </c>
      <c r="L111" s="392" t="s">
        <v>320</v>
      </c>
      <c r="M111" s="393" t="s">
        <v>26</v>
      </c>
      <c r="N111" s="379" t="s">
        <v>507</v>
      </c>
      <c r="O111" s="391">
        <v>2170711</v>
      </c>
    </row>
    <row r="112" spans="1:15" ht="27.75" customHeight="1" x14ac:dyDescent="0.35">
      <c r="A112" s="387" t="s">
        <v>508</v>
      </c>
      <c r="B112" s="378" t="s">
        <v>509</v>
      </c>
      <c r="C112" s="388" t="s">
        <v>510</v>
      </c>
      <c r="D112" s="389">
        <v>4600000</v>
      </c>
      <c r="E112" s="390">
        <v>46045</v>
      </c>
      <c r="F112" s="390">
        <v>46225</v>
      </c>
      <c r="G112" s="391" t="s">
        <v>20</v>
      </c>
      <c r="H112" s="391" t="s">
        <v>36</v>
      </c>
      <c r="I112" s="391" t="s">
        <v>170</v>
      </c>
      <c r="J112" s="383" t="s">
        <v>23</v>
      </c>
      <c r="K112" s="392" t="s">
        <v>511</v>
      </c>
      <c r="L112" s="392" t="s">
        <v>512</v>
      </c>
      <c r="M112" s="393" t="s">
        <v>26</v>
      </c>
      <c r="N112" s="379" t="s">
        <v>513</v>
      </c>
      <c r="O112" s="391">
        <v>2170711</v>
      </c>
    </row>
    <row r="113" spans="1:15" ht="27.75" customHeight="1" x14ac:dyDescent="0.35">
      <c r="A113" s="387" t="s">
        <v>514</v>
      </c>
      <c r="B113" s="378" t="s">
        <v>515</v>
      </c>
      <c r="C113" s="388" t="s">
        <v>516</v>
      </c>
      <c r="D113" s="389">
        <v>4250000</v>
      </c>
      <c r="E113" s="390">
        <v>46049</v>
      </c>
      <c r="F113" s="390">
        <v>46234</v>
      </c>
      <c r="G113" s="391" t="s">
        <v>20</v>
      </c>
      <c r="H113" s="391" t="s">
        <v>21</v>
      </c>
      <c r="I113" s="391" t="s">
        <v>22</v>
      </c>
      <c r="J113" s="383" t="s">
        <v>23</v>
      </c>
      <c r="K113" s="392" t="s">
        <v>24</v>
      </c>
      <c r="L113" s="392" t="s">
        <v>25</v>
      </c>
      <c r="M113" s="393" t="s">
        <v>26</v>
      </c>
      <c r="N113" s="379" t="s">
        <v>517</v>
      </c>
      <c r="O113" s="391">
        <v>2170711</v>
      </c>
    </row>
    <row r="114" spans="1:15" ht="27.75" customHeight="1" x14ac:dyDescent="0.35">
      <c r="A114" s="387" t="s">
        <v>518</v>
      </c>
      <c r="B114" s="378" t="s">
        <v>519</v>
      </c>
      <c r="C114" s="388" t="s">
        <v>520</v>
      </c>
      <c r="D114" s="389">
        <v>4000000</v>
      </c>
      <c r="E114" s="390">
        <v>46050</v>
      </c>
      <c r="F114" s="390">
        <v>46225</v>
      </c>
      <c r="G114" s="391" t="s">
        <v>20</v>
      </c>
      <c r="H114" s="391" t="s">
        <v>521</v>
      </c>
      <c r="I114" s="391" t="s">
        <v>22</v>
      </c>
      <c r="J114" s="383" t="s">
        <v>23</v>
      </c>
      <c r="K114" s="392" t="s">
        <v>24</v>
      </c>
      <c r="L114" s="392" t="s">
        <v>25</v>
      </c>
      <c r="M114" s="393" t="s">
        <v>229</v>
      </c>
      <c r="N114" s="379" t="s">
        <v>522</v>
      </c>
      <c r="O114" s="391">
        <v>2170711</v>
      </c>
    </row>
    <row r="115" spans="1:15" ht="27.75" customHeight="1" x14ac:dyDescent="0.35">
      <c r="A115" s="387" t="s">
        <v>523</v>
      </c>
      <c r="B115" s="378" t="s">
        <v>524</v>
      </c>
      <c r="C115" s="388" t="s">
        <v>525</v>
      </c>
      <c r="D115" s="389">
        <v>4000000</v>
      </c>
      <c r="E115" s="390">
        <v>46048</v>
      </c>
      <c r="F115" s="390">
        <v>46225</v>
      </c>
      <c r="G115" s="391" t="s">
        <v>20</v>
      </c>
      <c r="H115" s="391" t="s">
        <v>36</v>
      </c>
      <c r="I115" s="391" t="s">
        <v>170</v>
      </c>
      <c r="J115" s="383" t="s">
        <v>23</v>
      </c>
      <c r="K115" s="392" t="s">
        <v>24</v>
      </c>
      <c r="L115" s="392" t="s">
        <v>25</v>
      </c>
      <c r="M115" s="393" t="s">
        <v>229</v>
      </c>
      <c r="N115" s="379" t="s">
        <v>526</v>
      </c>
      <c r="O115" s="391">
        <v>2170711</v>
      </c>
    </row>
    <row r="116" spans="1:15" ht="27.75" customHeight="1" x14ac:dyDescent="0.35">
      <c r="A116" s="387" t="s">
        <v>527</v>
      </c>
      <c r="B116" s="378" t="s">
        <v>528</v>
      </c>
      <c r="C116" s="388" t="s">
        <v>529</v>
      </c>
      <c r="D116" s="389">
        <v>3300000</v>
      </c>
      <c r="E116" s="390">
        <v>46045</v>
      </c>
      <c r="F116" s="390">
        <v>46225</v>
      </c>
      <c r="G116" s="391" t="s">
        <v>20</v>
      </c>
      <c r="H116" s="391" t="s">
        <v>21</v>
      </c>
      <c r="I116" s="391" t="s">
        <v>57</v>
      </c>
      <c r="J116" s="383" t="s">
        <v>23</v>
      </c>
      <c r="K116" s="392" t="s">
        <v>24</v>
      </c>
      <c r="L116" s="392" t="s">
        <v>25</v>
      </c>
      <c r="M116" s="393" t="s">
        <v>530</v>
      </c>
      <c r="N116" s="379" t="s">
        <v>531</v>
      </c>
      <c r="O116" s="391">
        <v>2170711</v>
      </c>
    </row>
    <row r="117" spans="1:15" ht="27.75" customHeight="1" x14ac:dyDescent="0.35">
      <c r="A117" s="387" t="s">
        <v>532</v>
      </c>
      <c r="B117" s="378" t="s">
        <v>533</v>
      </c>
      <c r="C117" s="388" t="s">
        <v>534</v>
      </c>
      <c r="D117" s="389">
        <v>8150000</v>
      </c>
      <c r="E117" s="390">
        <v>46048</v>
      </c>
      <c r="F117" s="390">
        <v>46225</v>
      </c>
      <c r="G117" s="391" t="s">
        <v>20</v>
      </c>
      <c r="H117" s="391" t="s">
        <v>36</v>
      </c>
      <c r="I117" s="391" t="s">
        <v>87</v>
      </c>
      <c r="J117" s="383" t="s">
        <v>23</v>
      </c>
      <c r="K117" s="392" t="s">
        <v>24</v>
      </c>
      <c r="L117" s="392" t="s">
        <v>25</v>
      </c>
      <c r="M117" s="393" t="s">
        <v>530</v>
      </c>
      <c r="N117" s="379" t="s">
        <v>535</v>
      </c>
      <c r="O117" s="391">
        <v>2170711</v>
      </c>
    </row>
    <row r="118" spans="1:15" ht="27.75" customHeight="1" x14ac:dyDescent="0.35">
      <c r="A118" s="387" t="s">
        <v>536</v>
      </c>
      <c r="B118" s="378" t="s">
        <v>537</v>
      </c>
      <c r="C118" s="388" t="s">
        <v>538</v>
      </c>
      <c r="D118" s="389">
        <v>6800000</v>
      </c>
      <c r="E118" s="390">
        <v>46048</v>
      </c>
      <c r="F118" s="390">
        <v>46228</v>
      </c>
      <c r="G118" s="391" t="s">
        <v>20</v>
      </c>
      <c r="H118" s="391" t="s">
        <v>36</v>
      </c>
      <c r="I118" s="391" t="s">
        <v>37</v>
      </c>
      <c r="J118" s="383" t="s">
        <v>23</v>
      </c>
      <c r="K118" s="392" t="s">
        <v>24</v>
      </c>
      <c r="L118" s="392" t="s">
        <v>25</v>
      </c>
      <c r="M118" s="393" t="s">
        <v>530</v>
      </c>
      <c r="N118" s="379" t="s">
        <v>539</v>
      </c>
      <c r="O118" s="391">
        <v>2170711</v>
      </c>
    </row>
    <row r="119" spans="1:15" ht="27.75" customHeight="1" x14ac:dyDescent="0.35">
      <c r="A119" s="387" t="s">
        <v>540</v>
      </c>
      <c r="B119" s="378" t="s">
        <v>541</v>
      </c>
      <c r="C119" s="388" t="s">
        <v>542</v>
      </c>
      <c r="D119" s="389">
        <v>6365000</v>
      </c>
      <c r="E119" s="390">
        <v>46049</v>
      </c>
      <c r="F119" s="390">
        <v>46234</v>
      </c>
      <c r="G119" s="391" t="s">
        <v>20</v>
      </c>
      <c r="H119" s="391" t="s">
        <v>36</v>
      </c>
      <c r="I119" s="391" t="s">
        <v>37</v>
      </c>
      <c r="J119" s="383" t="s">
        <v>23</v>
      </c>
      <c r="K119" s="392" t="s">
        <v>24</v>
      </c>
      <c r="L119" s="392" t="s">
        <v>25</v>
      </c>
      <c r="M119" s="393" t="s">
        <v>26</v>
      </c>
      <c r="N119" s="379" t="s">
        <v>543</v>
      </c>
      <c r="O119" s="391">
        <v>2170711</v>
      </c>
    </row>
    <row r="120" spans="1:15" ht="27.75" customHeight="1" x14ac:dyDescent="0.35">
      <c r="A120" s="387" t="s">
        <v>544</v>
      </c>
      <c r="B120" s="378" t="s">
        <v>545</v>
      </c>
      <c r="C120" s="388" t="s">
        <v>546</v>
      </c>
      <c r="D120" s="389">
        <v>6872000</v>
      </c>
      <c r="E120" s="390">
        <v>46049</v>
      </c>
      <c r="F120" s="390">
        <v>46234</v>
      </c>
      <c r="G120" s="391" t="s">
        <v>20</v>
      </c>
      <c r="H120" s="391" t="s">
        <v>36</v>
      </c>
      <c r="I120" s="391" t="s">
        <v>37</v>
      </c>
      <c r="J120" s="383" t="s">
        <v>23</v>
      </c>
      <c r="K120" s="392" t="s">
        <v>24</v>
      </c>
      <c r="L120" s="392" t="s">
        <v>25</v>
      </c>
      <c r="M120" s="393" t="s">
        <v>26</v>
      </c>
      <c r="N120" s="379" t="s">
        <v>547</v>
      </c>
      <c r="O120" s="391">
        <v>2170711</v>
      </c>
    </row>
    <row r="121" spans="1:15" ht="27.75" customHeight="1" x14ac:dyDescent="0.35">
      <c r="A121" s="387" t="s">
        <v>548</v>
      </c>
      <c r="B121" s="378" t="s">
        <v>549</v>
      </c>
      <c r="C121" s="388" t="s">
        <v>550</v>
      </c>
      <c r="D121" s="389">
        <v>4178000</v>
      </c>
      <c r="E121" s="390">
        <v>46049</v>
      </c>
      <c r="F121" s="390">
        <v>46234</v>
      </c>
      <c r="G121" s="391" t="s">
        <v>20</v>
      </c>
      <c r="H121" s="391" t="s">
        <v>141</v>
      </c>
      <c r="I121" s="391" t="s">
        <v>31</v>
      </c>
      <c r="J121" s="383" t="s">
        <v>23</v>
      </c>
      <c r="K121" s="392" t="s">
        <v>511</v>
      </c>
      <c r="L121" s="392" t="s">
        <v>512</v>
      </c>
      <c r="M121" s="393" t="s">
        <v>26</v>
      </c>
      <c r="N121" s="379" t="s">
        <v>551</v>
      </c>
      <c r="O121" s="391">
        <v>2170711</v>
      </c>
    </row>
    <row r="122" spans="1:15" ht="27.75" customHeight="1" x14ac:dyDescent="0.35">
      <c r="A122" s="387" t="s">
        <v>552</v>
      </c>
      <c r="B122" s="378" t="s">
        <v>553</v>
      </c>
      <c r="C122" s="388" t="s">
        <v>554</v>
      </c>
      <c r="D122" s="389">
        <v>3700000</v>
      </c>
      <c r="E122" s="390">
        <v>46048</v>
      </c>
      <c r="F122" s="390">
        <v>46234</v>
      </c>
      <c r="G122" s="391" t="s">
        <v>20</v>
      </c>
      <c r="H122" s="391" t="s">
        <v>36</v>
      </c>
      <c r="I122" s="391" t="s">
        <v>325</v>
      </c>
      <c r="J122" s="383" t="s">
        <v>23</v>
      </c>
      <c r="K122" s="392" t="s">
        <v>24</v>
      </c>
      <c r="L122" s="392" t="s">
        <v>25</v>
      </c>
      <c r="M122" s="393" t="s">
        <v>26</v>
      </c>
      <c r="N122" s="379" t="s">
        <v>555</v>
      </c>
      <c r="O122" s="391">
        <v>2170711</v>
      </c>
    </row>
    <row r="123" spans="1:15" ht="27.75" customHeight="1" x14ac:dyDescent="0.35">
      <c r="A123" s="387" t="s">
        <v>556</v>
      </c>
      <c r="B123" s="378" t="s">
        <v>557</v>
      </c>
      <c r="C123" s="388" t="s">
        <v>558</v>
      </c>
      <c r="D123" s="389">
        <v>5840000</v>
      </c>
      <c r="E123" s="390">
        <v>46049</v>
      </c>
      <c r="F123" s="390">
        <v>46234</v>
      </c>
      <c r="G123" s="391" t="s">
        <v>20</v>
      </c>
      <c r="H123" s="391" t="s">
        <v>36</v>
      </c>
      <c r="I123" s="391" t="s">
        <v>106</v>
      </c>
      <c r="J123" s="383" t="s">
        <v>23</v>
      </c>
      <c r="K123" s="392" t="s">
        <v>24</v>
      </c>
      <c r="L123" s="392" t="s">
        <v>25</v>
      </c>
      <c r="M123" s="393" t="s">
        <v>26</v>
      </c>
      <c r="N123" s="379" t="s">
        <v>559</v>
      </c>
      <c r="O123" s="391">
        <v>2170711</v>
      </c>
    </row>
    <row r="124" spans="1:15" ht="27.75" customHeight="1" x14ac:dyDescent="0.35">
      <c r="A124" s="387" t="s">
        <v>560</v>
      </c>
      <c r="B124" s="378" t="s">
        <v>561</v>
      </c>
      <c r="C124" s="388" t="s">
        <v>562</v>
      </c>
      <c r="D124" s="389">
        <v>3700000</v>
      </c>
      <c r="E124" s="390">
        <v>46048</v>
      </c>
      <c r="F124" s="390">
        <v>46234</v>
      </c>
      <c r="G124" s="391" t="s">
        <v>20</v>
      </c>
      <c r="H124" s="391" t="s">
        <v>36</v>
      </c>
      <c r="I124" s="391" t="s">
        <v>325</v>
      </c>
      <c r="J124" s="383" t="s">
        <v>23</v>
      </c>
      <c r="K124" s="392" t="s">
        <v>24</v>
      </c>
      <c r="L124" s="392" t="s">
        <v>25</v>
      </c>
      <c r="M124" s="393" t="s">
        <v>26</v>
      </c>
      <c r="N124" s="379" t="s">
        <v>563</v>
      </c>
      <c r="O124" s="391">
        <v>2170711</v>
      </c>
    </row>
    <row r="125" spans="1:15" ht="27.75" customHeight="1" x14ac:dyDescent="0.35">
      <c r="A125" s="387" t="s">
        <v>564</v>
      </c>
      <c r="B125" s="378" t="s">
        <v>565</v>
      </c>
      <c r="C125" s="388" t="s">
        <v>426</v>
      </c>
      <c r="D125" s="389">
        <v>2662000</v>
      </c>
      <c r="E125" s="390">
        <v>46048</v>
      </c>
      <c r="F125" s="390">
        <v>46224</v>
      </c>
      <c r="G125" s="391" t="s">
        <v>20</v>
      </c>
      <c r="H125" s="391" t="s">
        <v>141</v>
      </c>
      <c r="I125" s="391" t="s">
        <v>22</v>
      </c>
      <c r="J125" s="383" t="s">
        <v>23</v>
      </c>
      <c r="K125" s="392" t="s">
        <v>217</v>
      </c>
      <c r="L125" s="392" t="s">
        <v>218</v>
      </c>
      <c r="M125" s="393" t="s">
        <v>302</v>
      </c>
      <c r="N125" s="379" t="s">
        <v>566</v>
      </c>
      <c r="O125" s="391">
        <v>2170711</v>
      </c>
    </row>
    <row r="126" spans="1:15" ht="27.75" customHeight="1" x14ac:dyDescent="0.35">
      <c r="A126" s="387" t="s">
        <v>567</v>
      </c>
      <c r="B126" s="378" t="s">
        <v>568</v>
      </c>
      <c r="C126" s="388" t="s">
        <v>569</v>
      </c>
      <c r="D126" s="389">
        <v>3000000</v>
      </c>
      <c r="E126" s="390">
        <v>46049</v>
      </c>
      <c r="F126" s="390">
        <v>46225</v>
      </c>
      <c r="G126" s="391" t="s">
        <v>20</v>
      </c>
      <c r="H126" s="391" t="s">
        <v>21</v>
      </c>
      <c r="I126" s="391" t="s">
        <v>57</v>
      </c>
      <c r="J126" s="383" t="s">
        <v>23</v>
      </c>
      <c r="K126" s="392" t="s">
        <v>24</v>
      </c>
      <c r="L126" s="392" t="s">
        <v>25</v>
      </c>
      <c r="M126" s="393" t="s">
        <v>46</v>
      </c>
      <c r="N126" s="379" t="s">
        <v>570</v>
      </c>
      <c r="O126" s="391">
        <v>2170711</v>
      </c>
    </row>
    <row r="127" spans="1:15" ht="27.75" customHeight="1" x14ac:dyDescent="0.35">
      <c r="A127" s="387" t="s">
        <v>571</v>
      </c>
      <c r="B127" s="378" t="s">
        <v>572</v>
      </c>
      <c r="C127" s="388" t="s">
        <v>573</v>
      </c>
      <c r="D127" s="389">
        <v>4685000</v>
      </c>
      <c r="E127" s="390">
        <v>46048</v>
      </c>
      <c r="F127" s="390">
        <v>46224</v>
      </c>
      <c r="G127" s="391" t="s">
        <v>20</v>
      </c>
      <c r="H127" s="391" t="s">
        <v>21</v>
      </c>
      <c r="I127" s="391" t="s">
        <v>69</v>
      </c>
      <c r="J127" s="383" t="s">
        <v>23</v>
      </c>
      <c r="K127" s="392" t="s">
        <v>24</v>
      </c>
      <c r="L127" s="392" t="s">
        <v>25</v>
      </c>
      <c r="M127" s="393" t="s">
        <v>302</v>
      </c>
      <c r="N127" s="379" t="s">
        <v>574</v>
      </c>
      <c r="O127" s="391">
        <v>2170711</v>
      </c>
    </row>
    <row r="128" spans="1:15" ht="27.75" customHeight="1" x14ac:dyDescent="0.35">
      <c r="A128" s="387" t="s">
        <v>575</v>
      </c>
      <c r="B128" s="378" t="s">
        <v>576</v>
      </c>
      <c r="C128" s="388" t="s">
        <v>577</v>
      </c>
      <c r="D128" s="389">
        <v>4635000</v>
      </c>
      <c r="E128" s="390">
        <v>46048</v>
      </c>
      <c r="F128" s="390">
        <v>46224</v>
      </c>
      <c r="G128" s="391" t="s">
        <v>20</v>
      </c>
      <c r="H128" s="391" t="s">
        <v>36</v>
      </c>
      <c r="I128" s="391" t="s">
        <v>486</v>
      </c>
      <c r="J128" s="383" t="s">
        <v>23</v>
      </c>
      <c r="K128" s="392" t="s">
        <v>578</v>
      </c>
      <c r="L128" s="392" t="s">
        <v>579</v>
      </c>
      <c r="M128" s="393" t="s">
        <v>26</v>
      </c>
      <c r="N128" s="379" t="s">
        <v>580</v>
      </c>
      <c r="O128" s="391">
        <v>2170711</v>
      </c>
    </row>
    <row r="129" spans="1:15" ht="27.75" customHeight="1" x14ac:dyDescent="0.35">
      <c r="A129" s="387" t="s">
        <v>581</v>
      </c>
      <c r="B129" s="378" t="s">
        <v>582</v>
      </c>
      <c r="C129" s="388" t="s">
        <v>583</v>
      </c>
      <c r="D129" s="389">
        <v>4675000</v>
      </c>
      <c r="E129" s="390">
        <v>46045</v>
      </c>
      <c r="F129" s="390">
        <v>46224</v>
      </c>
      <c r="G129" s="391" t="s">
        <v>20</v>
      </c>
      <c r="H129" s="391" t="s">
        <v>21</v>
      </c>
      <c r="I129" s="391" t="s">
        <v>69</v>
      </c>
      <c r="J129" s="383" t="s">
        <v>23</v>
      </c>
      <c r="K129" s="392" t="s">
        <v>24</v>
      </c>
      <c r="L129" s="392" t="s">
        <v>25</v>
      </c>
      <c r="M129" s="393" t="s">
        <v>26</v>
      </c>
      <c r="N129" s="379" t="s">
        <v>584</v>
      </c>
      <c r="O129" s="391">
        <v>2170711</v>
      </c>
    </row>
    <row r="130" spans="1:15" ht="27.75" customHeight="1" x14ac:dyDescent="0.35">
      <c r="A130" s="387" t="s">
        <v>585</v>
      </c>
      <c r="B130" s="378" t="s">
        <v>586</v>
      </c>
      <c r="C130" s="388" t="s">
        <v>573</v>
      </c>
      <c r="D130" s="389">
        <v>4685000</v>
      </c>
      <c r="E130" s="390">
        <v>46048</v>
      </c>
      <c r="F130" s="390">
        <v>46224</v>
      </c>
      <c r="G130" s="391" t="s">
        <v>20</v>
      </c>
      <c r="H130" s="391" t="s">
        <v>21</v>
      </c>
      <c r="I130" s="391" t="s">
        <v>69</v>
      </c>
      <c r="J130" s="383" t="s">
        <v>23</v>
      </c>
      <c r="K130" s="392" t="s">
        <v>24</v>
      </c>
      <c r="L130" s="392" t="s">
        <v>25</v>
      </c>
      <c r="M130" s="393" t="s">
        <v>302</v>
      </c>
      <c r="N130" s="379" t="s">
        <v>587</v>
      </c>
      <c r="O130" s="391">
        <v>2170711</v>
      </c>
    </row>
    <row r="131" spans="1:15" ht="27.75" customHeight="1" x14ac:dyDescent="0.35">
      <c r="A131" s="387" t="s">
        <v>588</v>
      </c>
      <c r="B131" s="378" t="s">
        <v>589</v>
      </c>
      <c r="C131" s="388" t="s">
        <v>590</v>
      </c>
      <c r="D131" s="389">
        <v>4685000</v>
      </c>
      <c r="E131" s="390">
        <v>46048</v>
      </c>
      <c r="F131" s="390">
        <v>46224</v>
      </c>
      <c r="G131" s="391" t="s">
        <v>20</v>
      </c>
      <c r="H131" s="391" t="s">
        <v>21</v>
      </c>
      <c r="I131" s="391" t="s">
        <v>69</v>
      </c>
      <c r="J131" s="383" t="s">
        <v>23</v>
      </c>
      <c r="K131" s="392" t="s">
        <v>24</v>
      </c>
      <c r="L131" s="392" t="s">
        <v>25</v>
      </c>
      <c r="M131" s="393" t="s">
        <v>302</v>
      </c>
      <c r="N131" s="379" t="s">
        <v>591</v>
      </c>
      <c r="O131" s="391">
        <v>2170711</v>
      </c>
    </row>
    <row r="132" spans="1:15" ht="27.75" customHeight="1" x14ac:dyDescent="0.35">
      <c r="A132" s="387" t="s">
        <v>592</v>
      </c>
      <c r="B132" s="378" t="s">
        <v>593</v>
      </c>
      <c r="C132" s="388" t="s">
        <v>594</v>
      </c>
      <c r="D132" s="389">
        <v>8740000</v>
      </c>
      <c r="E132" s="390">
        <v>46050</v>
      </c>
      <c r="F132" s="390">
        <v>46228</v>
      </c>
      <c r="G132" s="391" t="s">
        <v>20</v>
      </c>
      <c r="H132" s="391" t="s">
        <v>36</v>
      </c>
      <c r="I132" s="391" t="s">
        <v>87</v>
      </c>
      <c r="J132" s="383" t="s">
        <v>23</v>
      </c>
      <c r="K132" s="392" t="s">
        <v>24</v>
      </c>
      <c r="L132" s="392" t="s">
        <v>25</v>
      </c>
      <c r="M132" s="393" t="s">
        <v>302</v>
      </c>
      <c r="N132" s="379" t="s">
        <v>595</v>
      </c>
      <c r="O132" s="391">
        <v>2170711</v>
      </c>
    </row>
    <row r="133" spans="1:15" ht="27.75" customHeight="1" x14ac:dyDescent="0.35">
      <c r="A133" s="387" t="s">
        <v>596</v>
      </c>
      <c r="B133" s="378" t="s">
        <v>597</v>
      </c>
      <c r="C133" s="388" t="s">
        <v>598</v>
      </c>
      <c r="D133" s="389">
        <v>8280000</v>
      </c>
      <c r="E133" s="390">
        <v>46049</v>
      </c>
      <c r="F133" s="390">
        <v>46228</v>
      </c>
      <c r="G133" s="391" t="s">
        <v>20</v>
      </c>
      <c r="H133" s="391" t="s">
        <v>36</v>
      </c>
      <c r="I133" s="391" t="s">
        <v>87</v>
      </c>
      <c r="J133" s="383" t="s">
        <v>23</v>
      </c>
      <c r="K133" s="392" t="s">
        <v>227</v>
      </c>
      <c r="L133" s="392" t="s">
        <v>599</v>
      </c>
      <c r="M133" s="393" t="s">
        <v>302</v>
      </c>
      <c r="N133" s="379" t="s">
        <v>600</v>
      </c>
      <c r="O133" s="391">
        <v>2170711</v>
      </c>
    </row>
    <row r="134" spans="1:15" ht="27.75" customHeight="1" x14ac:dyDescent="0.35">
      <c r="A134" s="387" t="s">
        <v>601</v>
      </c>
      <c r="B134" s="378" t="s">
        <v>602</v>
      </c>
      <c r="C134" s="388" t="s">
        <v>573</v>
      </c>
      <c r="D134" s="389">
        <v>4685000</v>
      </c>
      <c r="E134" s="390">
        <v>46049</v>
      </c>
      <c r="F134" s="390">
        <v>46224</v>
      </c>
      <c r="G134" s="391" t="s">
        <v>20</v>
      </c>
      <c r="H134" s="391" t="s">
        <v>21</v>
      </c>
      <c r="I134" s="391" t="s">
        <v>69</v>
      </c>
      <c r="J134" s="383" t="s">
        <v>23</v>
      </c>
      <c r="K134" s="392" t="s">
        <v>24</v>
      </c>
      <c r="L134" s="392" t="s">
        <v>25</v>
      </c>
      <c r="M134" s="393" t="s">
        <v>302</v>
      </c>
      <c r="N134" s="379" t="s">
        <v>603</v>
      </c>
      <c r="O134" s="391">
        <v>2170711</v>
      </c>
    </row>
    <row r="135" spans="1:15" ht="27.75" customHeight="1" x14ac:dyDescent="0.35">
      <c r="A135" s="387" t="s">
        <v>604</v>
      </c>
      <c r="B135" s="378" t="s">
        <v>605</v>
      </c>
      <c r="C135" s="388" t="s">
        <v>606</v>
      </c>
      <c r="D135" s="389">
        <v>2900000</v>
      </c>
      <c r="E135" s="390">
        <v>46051</v>
      </c>
      <c r="F135" s="390">
        <v>46224</v>
      </c>
      <c r="G135" s="391" t="s">
        <v>20</v>
      </c>
      <c r="H135" s="391" t="s">
        <v>21</v>
      </c>
      <c r="I135" s="391" t="s">
        <v>57</v>
      </c>
      <c r="J135" s="383" t="s">
        <v>23</v>
      </c>
      <c r="K135" s="392" t="s">
        <v>511</v>
      </c>
      <c r="L135" s="392" t="s">
        <v>512</v>
      </c>
      <c r="M135" s="393" t="s">
        <v>302</v>
      </c>
      <c r="N135" s="379" t="s">
        <v>607</v>
      </c>
      <c r="O135" s="391">
        <v>2170711</v>
      </c>
    </row>
    <row r="136" spans="1:15" ht="27.75" customHeight="1" x14ac:dyDescent="0.35">
      <c r="A136" s="387" t="s">
        <v>608</v>
      </c>
      <c r="B136" s="378" t="s">
        <v>609</v>
      </c>
      <c r="C136" s="388" t="s">
        <v>610</v>
      </c>
      <c r="D136" s="389">
        <v>2662000</v>
      </c>
      <c r="E136" s="390">
        <v>46050</v>
      </c>
      <c r="F136" s="390">
        <v>46225</v>
      </c>
      <c r="G136" s="391" t="s">
        <v>20</v>
      </c>
      <c r="H136" s="391" t="s">
        <v>141</v>
      </c>
      <c r="I136" s="391" t="s">
        <v>22</v>
      </c>
      <c r="J136" s="383" t="s">
        <v>23</v>
      </c>
      <c r="K136" s="392" t="s">
        <v>63</v>
      </c>
      <c r="L136" s="392" t="s">
        <v>320</v>
      </c>
      <c r="M136" s="393" t="s">
        <v>302</v>
      </c>
      <c r="N136" s="379" t="s">
        <v>611</v>
      </c>
      <c r="O136" s="391">
        <v>2170711</v>
      </c>
    </row>
    <row r="137" spans="1:15" ht="27.75" customHeight="1" x14ac:dyDescent="0.35">
      <c r="A137" s="387" t="s">
        <v>612</v>
      </c>
      <c r="B137" s="378" t="s">
        <v>613</v>
      </c>
      <c r="C137" s="388" t="s">
        <v>614</v>
      </c>
      <c r="D137" s="389">
        <v>4993999</v>
      </c>
      <c r="E137" s="390">
        <v>46049</v>
      </c>
      <c r="F137" s="390">
        <v>46234</v>
      </c>
      <c r="G137" s="391" t="s">
        <v>20</v>
      </c>
      <c r="H137" s="391" t="s">
        <v>36</v>
      </c>
      <c r="I137" s="391" t="s">
        <v>106</v>
      </c>
      <c r="J137" s="383" t="s">
        <v>23</v>
      </c>
      <c r="K137" s="392" t="s">
        <v>24</v>
      </c>
      <c r="L137" s="392" t="s">
        <v>25</v>
      </c>
      <c r="M137" s="393" t="s">
        <v>250</v>
      </c>
      <c r="N137" s="379" t="s">
        <v>615</v>
      </c>
      <c r="O137" s="391">
        <v>2170711</v>
      </c>
    </row>
    <row r="138" spans="1:15" ht="27.75" customHeight="1" x14ac:dyDescent="0.35">
      <c r="A138" s="387" t="s">
        <v>616</v>
      </c>
      <c r="B138" s="378" t="s">
        <v>617</v>
      </c>
      <c r="C138" s="388" t="s">
        <v>606</v>
      </c>
      <c r="D138" s="389">
        <v>2900000</v>
      </c>
      <c r="E138" s="390">
        <v>46050</v>
      </c>
      <c r="F138" s="390">
        <v>46228</v>
      </c>
      <c r="G138" s="391" t="s">
        <v>20</v>
      </c>
      <c r="H138" s="391" t="s">
        <v>21</v>
      </c>
      <c r="I138" s="391" t="s">
        <v>57</v>
      </c>
      <c r="J138" s="383" t="s">
        <v>23</v>
      </c>
      <c r="K138" s="392" t="s">
        <v>238</v>
      </c>
      <c r="L138" s="392" t="s">
        <v>618</v>
      </c>
      <c r="M138" s="393" t="s">
        <v>302</v>
      </c>
      <c r="N138" s="379" t="s">
        <v>619</v>
      </c>
      <c r="O138" s="391">
        <v>2170711</v>
      </c>
    </row>
    <row r="139" spans="1:15" ht="27.75" customHeight="1" x14ac:dyDescent="0.35">
      <c r="A139" s="387" t="s">
        <v>620</v>
      </c>
      <c r="B139" s="378" t="s">
        <v>621</v>
      </c>
      <c r="C139" s="388" t="s">
        <v>622</v>
      </c>
      <c r="D139" s="389">
        <v>3700000</v>
      </c>
      <c r="E139" s="390">
        <v>46050</v>
      </c>
      <c r="F139" s="390">
        <v>46234</v>
      </c>
      <c r="G139" s="391" t="s">
        <v>20</v>
      </c>
      <c r="H139" s="391" t="s">
        <v>36</v>
      </c>
      <c r="I139" s="391" t="s">
        <v>325</v>
      </c>
      <c r="J139" s="383" t="s">
        <v>23</v>
      </c>
      <c r="K139" s="392" t="s">
        <v>227</v>
      </c>
      <c r="L139" s="392" t="s">
        <v>311</v>
      </c>
      <c r="M139" s="393" t="s">
        <v>26</v>
      </c>
      <c r="N139" s="379" t="s">
        <v>623</v>
      </c>
      <c r="O139" s="391">
        <v>2170711</v>
      </c>
    </row>
    <row r="140" spans="1:15" ht="27.75" customHeight="1" x14ac:dyDescent="0.35">
      <c r="A140" s="387" t="s">
        <v>624</v>
      </c>
      <c r="B140" s="378" t="s">
        <v>625</v>
      </c>
      <c r="C140" s="388" t="s">
        <v>626</v>
      </c>
      <c r="D140" s="389">
        <v>3700000</v>
      </c>
      <c r="E140" s="390">
        <v>46048</v>
      </c>
      <c r="F140" s="390">
        <v>46225</v>
      </c>
      <c r="G140" s="391" t="s">
        <v>20</v>
      </c>
      <c r="H140" s="391" t="s">
        <v>21</v>
      </c>
      <c r="I140" s="391" t="s">
        <v>22</v>
      </c>
      <c r="J140" s="383" t="s">
        <v>23</v>
      </c>
      <c r="K140" s="392" t="s">
        <v>24</v>
      </c>
      <c r="L140" s="392" t="s">
        <v>25</v>
      </c>
      <c r="M140" s="393" t="s">
        <v>26</v>
      </c>
      <c r="N140" s="379" t="s">
        <v>627</v>
      </c>
      <c r="O140" s="391">
        <v>2170711</v>
      </c>
    </row>
    <row r="141" spans="1:15" ht="27.75" customHeight="1" x14ac:dyDescent="0.35">
      <c r="A141" s="387" t="s">
        <v>628</v>
      </c>
      <c r="B141" s="378" t="s">
        <v>629</v>
      </c>
      <c r="C141" s="388" t="s">
        <v>630</v>
      </c>
      <c r="D141" s="389">
        <v>5000000</v>
      </c>
      <c r="E141" s="390">
        <v>46051</v>
      </c>
      <c r="F141" s="390">
        <v>46234</v>
      </c>
      <c r="G141" s="391" t="s">
        <v>20</v>
      </c>
      <c r="H141" s="391" t="s">
        <v>36</v>
      </c>
      <c r="I141" s="391" t="s">
        <v>106</v>
      </c>
      <c r="J141" s="383" t="s">
        <v>23</v>
      </c>
      <c r="K141" s="392" t="s">
        <v>631</v>
      </c>
      <c r="L141" s="392" t="s">
        <v>632</v>
      </c>
      <c r="M141" s="393" t="s">
        <v>26</v>
      </c>
      <c r="N141" s="379" t="s">
        <v>633</v>
      </c>
      <c r="O141" s="391">
        <v>2170711</v>
      </c>
    </row>
    <row r="142" spans="1:15" ht="27.75" customHeight="1" x14ac:dyDescent="0.35">
      <c r="A142" s="387" t="s">
        <v>634</v>
      </c>
      <c r="B142" s="378" t="s">
        <v>635</v>
      </c>
      <c r="C142" s="388" t="s">
        <v>636</v>
      </c>
      <c r="D142" s="389">
        <v>3300000</v>
      </c>
      <c r="E142" s="390">
        <v>46050</v>
      </c>
      <c r="F142" s="390">
        <v>46234</v>
      </c>
      <c r="G142" s="391" t="s">
        <v>20</v>
      </c>
      <c r="H142" s="391" t="s">
        <v>21</v>
      </c>
      <c r="I142" s="391" t="s">
        <v>57</v>
      </c>
      <c r="J142" s="383" t="s">
        <v>23</v>
      </c>
      <c r="K142" s="392" t="s">
        <v>24</v>
      </c>
      <c r="L142" s="392" t="s">
        <v>25</v>
      </c>
      <c r="M142" s="393" t="s">
        <v>26</v>
      </c>
      <c r="N142" s="379" t="s">
        <v>637</v>
      </c>
      <c r="O142" s="391">
        <v>2170711</v>
      </c>
    </row>
    <row r="143" spans="1:15" ht="27.75" customHeight="1" x14ac:dyDescent="0.35">
      <c r="A143" s="387" t="s">
        <v>638</v>
      </c>
      <c r="B143" s="378" t="s">
        <v>639</v>
      </c>
      <c r="C143" s="388" t="s">
        <v>640</v>
      </c>
      <c r="D143" s="389">
        <v>8000000</v>
      </c>
      <c r="E143" s="390">
        <v>46051</v>
      </c>
      <c r="F143" s="390">
        <v>46234</v>
      </c>
      <c r="G143" s="391" t="s">
        <v>20</v>
      </c>
      <c r="H143" s="391" t="s">
        <v>36</v>
      </c>
      <c r="I143" s="391" t="s">
        <v>87</v>
      </c>
      <c r="J143" s="383" t="s">
        <v>23</v>
      </c>
      <c r="K143" s="392" t="s">
        <v>24</v>
      </c>
      <c r="L143" s="392" t="s">
        <v>641</v>
      </c>
      <c r="M143" s="393" t="s">
        <v>26</v>
      </c>
      <c r="N143" s="379" t="s">
        <v>642</v>
      </c>
      <c r="O143" s="391">
        <v>2170711</v>
      </c>
    </row>
    <row r="144" spans="1:15" ht="27.75" customHeight="1" x14ac:dyDescent="0.35">
      <c r="A144" s="387" t="s">
        <v>643</v>
      </c>
      <c r="B144" s="378" t="s">
        <v>644</v>
      </c>
      <c r="C144" s="388" t="s">
        <v>645</v>
      </c>
      <c r="D144" s="389">
        <v>6000000</v>
      </c>
      <c r="E144" s="390">
        <v>46050</v>
      </c>
      <c r="F144" s="390">
        <v>46229</v>
      </c>
      <c r="G144" s="391" t="s">
        <v>20</v>
      </c>
      <c r="H144" s="391" t="s">
        <v>36</v>
      </c>
      <c r="I144" s="391" t="s">
        <v>37</v>
      </c>
      <c r="J144" s="383" t="s">
        <v>23</v>
      </c>
      <c r="K144" s="392" t="s">
        <v>24</v>
      </c>
      <c r="L144" s="392" t="s">
        <v>25</v>
      </c>
      <c r="M144" s="393" t="s">
        <v>82</v>
      </c>
      <c r="N144" s="379" t="s">
        <v>646</v>
      </c>
      <c r="O144" s="391">
        <v>2170711</v>
      </c>
    </row>
    <row r="145" spans="1:15" ht="27.75" customHeight="1" x14ac:dyDescent="0.35">
      <c r="A145" s="387" t="s">
        <v>647</v>
      </c>
      <c r="B145" s="378" t="s">
        <v>648</v>
      </c>
      <c r="C145" s="388" t="s">
        <v>649</v>
      </c>
      <c r="D145" s="389">
        <v>6176000</v>
      </c>
      <c r="E145" s="390">
        <v>46050</v>
      </c>
      <c r="F145" s="390">
        <v>46228</v>
      </c>
      <c r="G145" s="391" t="s">
        <v>20</v>
      </c>
      <c r="H145" s="391" t="s">
        <v>36</v>
      </c>
      <c r="I145" s="391" t="s">
        <v>119</v>
      </c>
      <c r="J145" s="383" t="s">
        <v>23</v>
      </c>
      <c r="K145" s="392" t="s">
        <v>24</v>
      </c>
      <c r="L145" s="392" t="s">
        <v>25</v>
      </c>
      <c r="M145" s="393" t="s">
        <v>302</v>
      </c>
      <c r="N145" s="380" t="s">
        <v>650</v>
      </c>
      <c r="O145" s="391">
        <v>2170711</v>
      </c>
    </row>
    <row r="146" spans="1:15" ht="27.75" customHeight="1" x14ac:dyDescent="0.35">
      <c r="A146" s="387" t="s">
        <v>651</v>
      </c>
      <c r="B146" s="378" t="s">
        <v>652</v>
      </c>
      <c r="C146" s="388" t="s">
        <v>653</v>
      </c>
      <c r="D146" s="389">
        <v>5500000</v>
      </c>
      <c r="E146" s="390">
        <v>46049</v>
      </c>
      <c r="F146" s="390">
        <v>46229</v>
      </c>
      <c r="G146" s="391" t="s">
        <v>20</v>
      </c>
      <c r="H146" s="391" t="s">
        <v>36</v>
      </c>
      <c r="I146" s="391" t="s">
        <v>106</v>
      </c>
      <c r="J146" s="383" t="s">
        <v>23</v>
      </c>
      <c r="K146" s="392" t="s">
        <v>578</v>
      </c>
      <c r="L146" s="392" t="s">
        <v>654</v>
      </c>
      <c r="M146" s="393" t="s">
        <v>250</v>
      </c>
      <c r="N146" s="379" t="s">
        <v>655</v>
      </c>
      <c r="O146" s="391">
        <v>2170711</v>
      </c>
    </row>
    <row r="147" spans="1:15" ht="27.75" customHeight="1" x14ac:dyDescent="0.35">
      <c r="A147" s="387" t="s">
        <v>656</v>
      </c>
      <c r="B147" s="378" t="s">
        <v>657</v>
      </c>
      <c r="C147" s="388" t="s">
        <v>658</v>
      </c>
      <c r="D147" s="389">
        <v>4000000</v>
      </c>
      <c r="E147" s="390">
        <v>46049</v>
      </c>
      <c r="F147" s="390">
        <v>46229</v>
      </c>
      <c r="G147" s="391" t="s">
        <v>20</v>
      </c>
      <c r="H147" s="391" t="s">
        <v>141</v>
      </c>
      <c r="I147" s="391" t="s">
        <v>31</v>
      </c>
      <c r="J147" s="383" t="s">
        <v>659</v>
      </c>
      <c r="K147" s="392" t="s">
        <v>660</v>
      </c>
      <c r="L147" s="392" t="s">
        <v>660</v>
      </c>
      <c r="M147" s="393" t="s">
        <v>250</v>
      </c>
      <c r="N147" s="379" t="s">
        <v>661</v>
      </c>
      <c r="O147" s="391">
        <v>2170711</v>
      </c>
    </row>
    <row r="148" spans="1:15" ht="27.75" customHeight="1" x14ac:dyDescent="0.35">
      <c r="A148" s="387" t="s">
        <v>662</v>
      </c>
      <c r="B148" s="378" t="s">
        <v>663</v>
      </c>
      <c r="C148" s="388" t="s">
        <v>664</v>
      </c>
      <c r="D148" s="389">
        <v>7800000</v>
      </c>
      <c r="E148" s="390">
        <v>46051</v>
      </c>
      <c r="F148" s="390">
        <v>46230</v>
      </c>
      <c r="G148" s="391" t="s">
        <v>20</v>
      </c>
      <c r="H148" s="391" t="s">
        <v>36</v>
      </c>
      <c r="I148" s="391" t="s">
        <v>119</v>
      </c>
      <c r="J148" s="383" t="s">
        <v>23</v>
      </c>
      <c r="K148" s="392" t="s">
        <v>24</v>
      </c>
      <c r="L148" s="392" t="s">
        <v>665</v>
      </c>
      <c r="M148" s="393" t="s">
        <v>530</v>
      </c>
      <c r="N148" s="379" t="s">
        <v>666</v>
      </c>
      <c r="O148" s="391">
        <v>2170711</v>
      </c>
    </row>
    <row r="149" spans="1:15" ht="27.75" customHeight="1" x14ac:dyDescent="0.35">
      <c r="A149" s="387" t="s">
        <v>667</v>
      </c>
      <c r="B149" s="378" t="s">
        <v>668</v>
      </c>
      <c r="C149" s="388" t="s">
        <v>669</v>
      </c>
      <c r="D149" s="389">
        <v>2734406</v>
      </c>
      <c r="E149" s="390">
        <v>46051</v>
      </c>
      <c r="F149" s="390">
        <v>46229</v>
      </c>
      <c r="G149" s="391" t="s">
        <v>20</v>
      </c>
      <c r="H149" s="391" t="s">
        <v>21</v>
      </c>
      <c r="I149" s="391" t="s">
        <v>57</v>
      </c>
      <c r="J149" s="383" t="s">
        <v>23</v>
      </c>
      <c r="K149" s="392" t="s">
        <v>63</v>
      </c>
      <c r="L149" s="392" t="s">
        <v>320</v>
      </c>
      <c r="M149" s="393" t="s">
        <v>82</v>
      </c>
      <c r="N149" s="379" t="s">
        <v>670</v>
      </c>
      <c r="O149" s="391">
        <v>2170711</v>
      </c>
    </row>
    <row r="150" spans="1:15" ht="27.75" customHeight="1" x14ac:dyDescent="0.35">
      <c r="A150" s="387" t="s">
        <v>671</v>
      </c>
      <c r="B150" s="378" t="s">
        <v>672</v>
      </c>
      <c r="C150" s="388" t="s">
        <v>673</v>
      </c>
      <c r="D150" s="389">
        <v>3700000</v>
      </c>
      <c r="E150" s="390">
        <v>46050</v>
      </c>
      <c r="F150" s="390">
        <v>46228</v>
      </c>
      <c r="G150" s="391" t="s">
        <v>20</v>
      </c>
      <c r="H150" s="391" t="s">
        <v>21</v>
      </c>
      <c r="I150" s="391" t="s">
        <v>22</v>
      </c>
      <c r="J150" s="383" t="s">
        <v>23</v>
      </c>
      <c r="K150" s="392" t="s">
        <v>24</v>
      </c>
      <c r="L150" s="392" t="s">
        <v>25</v>
      </c>
      <c r="M150" s="393" t="s">
        <v>26</v>
      </c>
      <c r="N150" s="379" t="s">
        <v>674</v>
      </c>
      <c r="O150" s="391">
        <v>2170711</v>
      </c>
    </row>
    <row r="151" spans="1:15" ht="27.75" customHeight="1" x14ac:dyDescent="0.35">
      <c r="A151" s="387" t="s">
        <v>675</v>
      </c>
      <c r="B151" s="378" t="s">
        <v>676</v>
      </c>
      <c r="C151" s="388" t="s">
        <v>677</v>
      </c>
      <c r="D151" s="389">
        <v>2900000</v>
      </c>
      <c r="E151" s="390">
        <v>46051</v>
      </c>
      <c r="F151" s="390">
        <v>46229</v>
      </c>
      <c r="G151" s="391" t="s">
        <v>20</v>
      </c>
      <c r="H151" s="391" t="s">
        <v>21</v>
      </c>
      <c r="I151" s="391" t="s">
        <v>57</v>
      </c>
      <c r="J151" s="383" t="s">
        <v>23</v>
      </c>
      <c r="K151" s="392" t="s">
        <v>24</v>
      </c>
      <c r="L151" s="392" t="s">
        <v>25</v>
      </c>
      <c r="M151" s="393" t="s">
        <v>302</v>
      </c>
      <c r="N151" s="379" t="s">
        <v>678</v>
      </c>
      <c r="O151" s="391">
        <v>2170711</v>
      </c>
    </row>
    <row r="152" spans="1:15" ht="27.75" customHeight="1" x14ac:dyDescent="0.35">
      <c r="A152" s="387" t="s">
        <v>679</v>
      </c>
      <c r="B152" s="378" t="s">
        <v>680</v>
      </c>
      <c r="C152" s="388" t="s">
        <v>681</v>
      </c>
      <c r="D152" s="389">
        <v>4000000</v>
      </c>
      <c r="E152" s="390">
        <v>46051</v>
      </c>
      <c r="F152" s="390">
        <v>46230</v>
      </c>
      <c r="G152" s="391" t="s">
        <v>20</v>
      </c>
      <c r="H152" s="391" t="s">
        <v>21</v>
      </c>
      <c r="I152" s="391" t="s">
        <v>22</v>
      </c>
      <c r="J152" s="383" t="s">
        <v>23</v>
      </c>
      <c r="K152" s="392" t="s">
        <v>24</v>
      </c>
      <c r="L152" s="392" t="s">
        <v>25</v>
      </c>
      <c r="M152" s="393" t="s">
        <v>530</v>
      </c>
      <c r="N152" s="379" t="s">
        <v>682</v>
      </c>
      <c r="O152" s="391">
        <v>2170711</v>
      </c>
    </row>
    <row r="153" spans="1:15" ht="27.75" customHeight="1" x14ac:dyDescent="0.35">
      <c r="A153" s="387" t="s">
        <v>683</v>
      </c>
      <c r="B153" s="378" t="s">
        <v>684</v>
      </c>
      <c r="C153" s="388" t="s">
        <v>685</v>
      </c>
      <c r="D153" s="389">
        <v>5500000</v>
      </c>
      <c r="E153" s="390">
        <v>46051</v>
      </c>
      <c r="F153" s="390">
        <v>46230</v>
      </c>
      <c r="G153" s="391" t="s">
        <v>20</v>
      </c>
      <c r="H153" s="391" t="s">
        <v>36</v>
      </c>
      <c r="I153" s="391" t="s">
        <v>106</v>
      </c>
      <c r="J153" s="383" t="s">
        <v>23</v>
      </c>
      <c r="K153" s="392" t="s">
        <v>24</v>
      </c>
      <c r="L153" s="392" t="s">
        <v>25</v>
      </c>
      <c r="M153" s="393" t="s">
        <v>26</v>
      </c>
      <c r="N153" s="379" t="s">
        <v>686</v>
      </c>
      <c r="O153" s="391">
        <v>2170711</v>
      </c>
    </row>
    <row r="154" spans="1:15" ht="27.75" customHeight="1" x14ac:dyDescent="0.35">
      <c r="A154" s="387" t="s">
        <v>687</v>
      </c>
      <c r="B154" s="378" t="s">
        <v>688</v>
      </c>
      <c r="C154" s="388" t="s">
        <v>689</v>
      </c>
      <c r="D154" s="389">
        <v>9850000</v>
      </c>
      <c r="E154" s="390">
        <v>46051</v>
      </c>
      <c r="F154" s="390">
        <v>46230</v>
      </c>
      <c r="G154" s="391" t="s">
        <v>20</v>
      </c>
      <c r="H154" s="391" t="s">
        <v>78</v>
      </c>
      <c r="I154" s="391" t="s">
        <v>79</v>
      </c>
      <c r="J154" s="383" t="s">
        <v>23</v>
      </c>
      <c r="K154" s="392" t="s">
        <v>690</v>
      </c>
      <c r="L154" s="392" t="s">
        <v>691</v>
      </c>
      <c r="M154" s="393" t="s">
        <v>302</v>
      </c>
      <c r="N154" s="379" t="s">
        <v>692</v>
      </c>
      <c r="O154" s="391">
        <v>2170711</v>
      </c>
    </row>
    <row r="155" spans="1:15" ht="27.75" customHeight="1" x14ac:dyDescent="0.35">
      <c r="A155" s="387" t="s">
        <v>693</v>
      </c>
      <c r="B155" s="378" t="s">
        <v>694</v>
      </c>
      <c r="C155" s="388" t="s">
        <v>695</v>
      </c>
      <c r="D155" s="389">
        <v>5000000</v>
      </c>
      <c r="E155" s="390">
        <v>46051</v>
      </c>
      <c r="F155" s="390">
        <v>46230</v>
      </c>
      <c r="G155" s="391" t="s">
        <v>20</v>
      </c>
      <c r="H155" s="391" t="s">
        <v>36</v>
      </c>
      <c r="I155" s="391" t="s">
        <v>106</v>
      </c>
      <c r="J155" s="383" t="s">
        <v>23</v>
      </c>
      <c r="K155" s="392" t="s">
        <v>24</v>
      </c>
      <c r="L155" s="392" t="s">
        <v>25</v>
      </c>
      <c r="M155" s="393" t="s">
        <v>46</v>
      </c>
      <c r="N155" s="379" t="s">
        <v>696</v>
      </c>
      <c r="O155" s="391">
        <v>2170711</v>
      </c>
    </row>
    <row r="156" spans="1:15" ht="27.75" customHeight="1" x14ac:dyDescent="0.35">
      <c r="A156" s="387" t="s">
        <v>697</v>
      </c>
      <c r="B156" s="378" t="s">
        <v>698</v>
      </c>
      <c r="C156" s="388" t="s">
        <v>699</v>
      </c>
      <c r="D156" s="389">
        <v>6000000</v>
      </c>
      <c r="E156" s="390">
        <v>46052</v>
      </c>
      <c r="F156" s="390">
        <v>46234</v>
      </c>
      <c r="G156" s="391" t="s">
        <v>20</v>
      </c>
      <c r="H156" s="391" t="s">
        <v>36</v>
      </c>
      <c r="I156" s="391" t="s">
        <v>37</v>
      </c>
      <c r="J156" s="383" t="s">
        <v>23</v>
      </c>
      <c r="K156" s="392" t="s">
        <v>24</v>
      </c>
      <c r="L156" s="392" t="s">
        <v>25</v>
      </c>
      <c r="M156" s="393" t="s">
        <v>46</v>
      </c>
      <c r="N156" s="379" t="s">
        <v>700</v>
      </c>
      <c r="O156" s="391">
        <v>2170711</v>
      </c>
    </row>
    <row r="157" spans="1:15" ht="27.75" customHeight="1" x14ac:dyDescent="0.35">
      <c r="A157" s="387" t="s">
        <v>701</v>
      </c>
      <c r="B157" s="378" t="s">
        <v>702</v>
      </c>
      <c r="C157" s="388" t="s">
        <v>703</v>
      </c>
      <c r="D157" s="389">
        <v>3200000</v>
      </c>
      <c r="E157" s="390">
        <v>46052</v>
      </c>
      <c r="F157" s="390">
        <v>46234</v>
      </c>
      <c r="G157" s="391" t="s">
        <v>20</v>
      </c>
      <c r="H157" s="391" t="s">
        <v>141</v>
      </c>
      <c r="I157" s="391" t="s">
        <v>69</v>
      </c>
      <c r="J157" s="383" t="s">
        <v>23</v>
      </c>
      <c r="K157" s="392" t="s">
        <v>24</v>
      </c>
      <c r="L157" s="392" t="s">
        <v>704</v>
      </c>
      <c r="M157" s="393" t="s">
        <v>46</v>
      </c>
      <c r="N157" s="379" t="s">
        <v>705</v>
      </c>
      <c r="O157" s="391">
        <v>2170711</v>
      </c>
    </row>
    <row r="158" spans="1:15" ht="27.75" customHeight="1" x14ac:dyDescent="0.35">
      <c r="A158" s="387" t="s">
        <v>706</v>
      </c>
      <c r="B158" s="378" t="s">
        <v>707</v>
      </c>
      <c r="C158" s="388" t="s">
        <v>583</v>
      </c>
      <c r="D158" s="389">
        <v>4675000</v>
      </c>
      <c r="E158" s="390">
        <v>46051</v>
      </c>
      <c r="F158" s="390">
        <v>46231</v>
      </c>
      <c r="G158" s="391" t="s">
        <v>20</v>
      </c>
      <c r="H158" s="391" t="s">
        <v>21</v>
      </c>
      <c r="I158" s="391" t="s">
        <v>69</v>
      </c>
      <c r="J158" s="383" t="s">
        <v>23</v>
      </c>
      <c r="K158" s="392" t="s">
        <v>24</v>
      </c>
      <c r="L158" s="392" t="s">
        <v>25</v>
      </c>
      <c r="M158" s="393" t="s">
        <v>26</v>
      </c>
      <c r="N158" s="379" t="s">
        <v>708</v>
      </c>
      <c r="O158" s="391">
        <v>2170711</v>
      </c>
    </row>
    <row r="159" spans="1:15" ht="27.75" customHeight="1" x14ac:dyDescent="0.35">
      <c r="A159" s="387" t="s">
        <v>709</v>
      </c>
      <c r="B159" s="378" t="s">
        <v>710</v>
      </c>
      <c r="C159" s="388" t="s">
        <v>606</v>
      </c>
      <c r="D159" s="389">
        <v>2900000</v>
      </c>
      <c r="E159" s="390">
        <v>46052</v>
      </c>
      <c r="F159" s="390">
        <v>46231</v>
      </c>
      <c r="G159" s="391" t="s">
        <v>20</v>
      </c>
      <c r="H159" s="391" t="s">
        <v>21</v>
      </c>
      <c r="I159" s="391" t="s">
        <v>57</v>
      </c>
      <c r="J159" s="383" t="s">
        <v>23</v>
      </c>
      <c r="K159" s="392" t="s">
        <v>24</v>
      </c>
      <c r="L159" s="392" t="s">
        <v>25</v>
      </c>
      <c r="M159" s="393" t="s">
        <v>302</v>
      </c>
      <c r="N159" s="379" t="s">
        <v>711</v>
      </c>
      <c r="O159" s="391">
        <v>2170711</v>
      </c>
    </row>
    <row r="160" spans="1:15" ht="27.75" customHeight="1" x14ac:dyDescent="0.35">
      <c r="A160" s="387" t="s">
        <v>712</v>
      </c>
      <c r="B160" s="381" t="s">
        <v>713</v>
      </c>
      <c r="C160" s="388" t="s">
        <v>714</v>
      </c>
      <c r="D160" s="389">
        <v>10000000</v>
      </c>
      <c r="E160" s="390">
        <v>46211</v>
      </c>
      <c r="F160" s="390">
        <v>46333</v>
      </c>
      <c r="G160" s="391" t="s">
        <v>20</v>
      </c>
      <c r="H160" s="391" t="s">
        <v>715</v>
      </c>
      <c r="I160" s="391" t="s">
        <v>716</v>
      </c>
      <c r="J160" s="383" t="s">
        <v>23</v>
      </c>
      <c r="K160" s="392" t="s">
        <v>24</v>
      </c>
      <c r="L160" s="392" t="s">
        <v>25</v>
      </c>
      <c r="M160" s="393" t="s">
        <v>46</v>
      </c>
      <c r="N160" s="382" t="s">
        <v>717</v>
      </c>
      <c r="O160" s="391">
        <v>2170711</v>
      </c>
    </row>
    <row r="161" spans="1:15" ht="27.75" customHeight="1" x14ac:dyDescent="0.35">
      <c r="A161" s="387" t="s">
        <v>718</v>
      </c>
      <c r="B161" s="381" t="s">
        <v>719</v>
      </c>
      <c r="C161" s="388" t="s">
        <v>720</v>
      </c>
      <c r="D161" s="389">
        <v>6000000</v>
      </c>
      <c r="E161" s="390">
        <v>46217</v>
      </c>
      <c r="F161" s="390">
        <v>46339</v>
      </c>
      <c r="G161" s="391" t="s">
        <v>20</v>
      </c>
      <c r="H161" s="391" t="s">
        <v>36</v>
      </c>
      <c r="I161" s="391" t="s">
        <v>37</v>
      </c>
      <c r="J161" s="383" t="s">
        <v>23</v>
      </c>
      <c r="K161" s="392" t="s">
        <v>24</v>
      </c>
      <c r="L161" s="392" t="s">
        <v>721</v>
      </c>
      <c r="M161" s="393" t="s">
        <v>46</v>
      </c>
      <c r="N161" s="383" t="s">
        <v>722</v>
      </c>
      <c r="O161" s="391">
        <v>2170711</v>
      </c>
    </row>
    <row r="162" spans="1:15" ht="27.75" customHeight="1" x14ac:dyDescent="0.35">
      <c r="A162" s="387" t="s">
        <v>209</v>
      </c>
      <c r="B162" s="381" t="s">
        <v>723</v>
      </c>
      <c r="C162" s="388" t="s">
        <v>724</v>
      </c>
      <c r="D162" s="389">
        <v>4500000</v>
      </c>
      <c r="E162" s="390">
        <v>46226</v>
      </c>
      <c r="F162" s="390">
        <v>46364</v>
      </c>
      <c r="G162" s="391" t="s">
        <v>20</v>
      </c>
      <c r="H162" s="391" t="s">
        <v>36</v>
      </c>
      <c r="I162" s="391" t="s">
        <v>170</v>
      </c>
      <c r="J162" s="383" t="s">
        <v>23</v>
      </c>
      <c r="K162" s="392" t="s">
        <v>24</v>
      </c>
      <c r="L162" s="392" t="s">
        <v>25</v>
      </c>
      <c r="M162" s="393" t="s">
        <v>82</v>
      </c>
      <c r="N162" s="392" t="s">
        <v>212</v>
      </c>
      <c r="O162" s="391">
        <v>2170711</v>
      </c>
    </row>
    <row r="163" spans="1:15" ht="27.75" customHeight="1" x14ac:dyDescent="0.35">
      <c r="A163" s="387" t="s">
        <v>75</v>
      </c>
      <c r="B163" s="381" t="s">
        <v>725</v>
      </c>
      <c r="C163" s="388" t="s">
        <v>726</v>
      </c>
      <c r="D163" s="389">
        <v>10075000</v>
      </c>
      <c r="E163" s="390">
        <v>46226</v>
      </c>
      <c r="F163" s="390">
        <v>46363</v>
      </c>
      <c r="G163" s="391" t="s">
        <v>20</v>
      </c>
      <c r="H163" s="391" t="s">
        <v>78</v>
      </c>
      <c r="I163" s="391" t="s">
        <v>79</v>
      </c>
      <c r="J163" s="383" t="s">
        <v>23</v>
      </c>
      <c r="K163" s="392" t="s">
        <v>80</v>
      </c>
      <c r="L163" s="392" t="s">
        <v>81</v>
      </c>
      <c r="M163" s="393" t="s">
        <v>82</v>
      </c>
      <c r="N163" s="392" t="s">
        <v>83</v>
      </c>
      <c r="O163" s="391">
        <v>2170711</v>
      </c>
    </row>
    <row r="164" spans="1:15" ht="27.75" customHeight="1" x14ac:dyDescent="0.35">
      <c r="A164" s="387" t="s">
        <v>121</v>
      </c>
      <c r="B164" s="384" t="s">
        <v>727</v>
      </c>
      <c r="C164" s="388" t="s">
        <v>728</v>
      </c>
      <c r="D164" s="389">
        <v>7210000</v>
      </c>
      <c r="E164" s="390">
        <v>46237</v>
      </c>
      <c r="F164" s="390">
        <v>46374</v>
      </c>
      <c r="G164" s="391" t="s">
        <v>20</v>
      </c>
      <c r="H164" s="391" t="s">
        <v>36</v>
      </c>
      <c r="I164" s="391" t="s">
        <v>119</v>
      </c>
      <c r="J164" s="383" t="s">
        <v>23</v>
      </c>
      <c r="K164" s="392" t="s">
        <v>24</v>
      </c>
      <c r="L164" s="392" t="s">
        <v>25</v>
      </c>
      <c r="M164" s="393" t="s">
        <v>82</v>
      </c>
      <c r="N164" s="392" t="s">
        <v>124</v>
      </c>
      <c r="O164" s="391">
        <v>2170711</v>
      </c>
    </row>
    <row r="165" spans="1:15" ht="27.75" customHeight="1" x14ac:dyDescent="0.35">
      <c r="A165" s="387" t="s">
        <v>197</v>
      </c>
      <c r="B165" s="384" t="s">
        <v>729</v>
      </c>
      <c r="C165" s="388" t="s">
        <v>730</v>
      </c>
      <c r="D165" s="389">
        <v>7426300</v>
      </c>
      <c r="E165" s="390">
        <v>46237</v>
      </c>
      <c r="F165" s="390">
        <v>46374</v>
      </c>
      <c r="G165" s="391" t="s">
        <v>20</v>
      </c>
      <c r="H165" s="391" t="s">
        <v>36</v>
      </c>
      <c r="I165" s="391" t="s">
        <v>119</v>
      </c>
      <c r="J165" s="383" t="s">
        <v>23</v>
      </c>
      <c r="K165" s="392" t="s">
        <v>24</v>
      </c>
      <c r="L165" s="392" t="s">
        <v>25</v>
      </c>
      <c r="M165" s="393" t="s">
        <v>82</v>
      </c>
      <c r="N165" s="392" t="s">
        <v>200</v>
      </c>
      <c r="O165" s="391">
        <v>2170711</v>
      </c>
    </row>
    <row r="166" spans="1:15" ht="27.75" customHeight="1" x14ac:dyDescent="0.35">
      <c r="A166" s="387" t="s">
        <v>95</v>
      </c>
      <c r="B166" s="384" t="s">
        <v>731</v>
      </c>
      <c r="C166" s="388" t="s">
        <v>732</v>
      </c>
      <c r="D166" s="389">
        <v>8240000</v>
      </c>
      <c r="E166" s="390">
        <v>46237</v>
      </c>
      <c r="F166" s="390">
        <v>46373</v>
      </c>
      <c r="G166" s="391" t="s">
        <v>20</v>
      </c>
      <c r="H166" s="391" t="s">
        <v>36</v>
      </c>
      <c r="I166" s="391" t="s">
        <v>87</v>
      </c>
      <c r="J166" s="383" t="s">
        <v>23</v>
      </c>
      <c r="K166" s="392" t="s">
        <v>24</v>
      </c>
      <c r="L166" s="392" t="s">
        <v>25</v>
      </c>
      <c r="M166" s="393" t="s">
        <v>82</v>
      </c>
      <c r="N166" s="392" t="s">
        <v>98</v>
      </c>
      <c r="O166" s="391">
        <v>2170711</v>
      </c>
    </row>
    <row r="167" spans="1:15" ht="27.75" customHeight="1" x14ac:dyDescent="0.35">
      <c r="A167" s="387" t="s">
        <v>112</v>
      </c>
      <c r="B167" s="384" t="s">
        <v>733</v>
      </c>
      <c r="C167" s="388" t="s">
        <v>734</v>
      </c>
      <c r="D167" s="389">
        <v>6180000</v>
      </c>
      <c r="E167" s="390">
        <v>46237</v>
      </c>
      <c r="F167" s="390">
        <v>46373</v>
      </c>
      <c r="G167" s="391" t="s">
        <v>20</v>
      </c>
      <c r="H167" s="391" t="s">
        <v>36</v>
      </c>
      <c r="I167" s="391" t="s">
        <v>37</v>
      </c>
      <c r="J167" s="383" t="s">
        <v>23</v>
      </c>
      <c r="K167" s="392" t="s">
        <v>24</v>
      </c>
      <c r="L167" s="392" t="s">
        <v>25</v>
      </c>
      <c r="M167" s="393" t="s">
        <v>82</v>
      </c>
      <c r="N167" s="392" t="s">
        <v>115</v>
      </c>
      <c r="O167" s="391">
        <v>2170711</v>
      </c>
    </row>
    <row r="168" spans="1:15" ht="27.75" customHeight="1" x14ac:dyDescent="0.35">
      <c r="A168" s="387" t="s">
        <v>735</v>
      </c>
      <c r="B168" s="378" t="s">
        <v>736</v>
      </c>
      <c r="C168" s="388" t="s">
        <v>737</v>
      </c>
      <c r="D168" s="389">
        <v>6180000</v>
      </c>
      <c r="E168" s="390">
        <v>46232</v>
      </c>
      <c r="F168" s="390">
        <v>46369</v>
      </c>
      <c r="G168" s="391" t="s">
        <v>20</v>
      </c>
      <c r="H168" s="391" t="s">
        <v>36</v>
      </c>
      <c r="I168" s="391" t="s">
        <v>37</v>
      </c>
      <c r="J168" s="383" t="s">
        <v>23</v>
      </c>
      <c r="K168" s="392" t="s">
        <v>24</v>
      </c>
      <c r="L168" s="392" t="s">
        <v>25</v>
      </c>
      <c r="M168" s="393" t="s">
        <v>82</v>
      </c>
      <c r="N168" s="392" t="s">
        <v>102</v>
      </c>
      <c r="O168" s="391">
        <v>2170711</v>
      </c>
    </row>
    <row r="169" spans="1:15" ht="27.75" customHeight="1" x14ac:dyDescent="0.35">
      <c r="A169" s="387" t="s">
        <v>231</v>
      </c>
      <c r="B169" s="384" t="s">
        <v>738</v>
      </c>
      <c r="C169" s="388" t="s">
        <v>739</v>
      </c>
      <c r="D169" s="389">
        <v>7426300</v>
      </c>
      <c r="E169" s="390">
        <v>46237</v>
      </c>
      <c r="F169" s="390">
        <v>46358</v>
      </c>
      <c r="G169" s="391" t="s">
        <v>20</v>
      </c>
      <c r="H169" s="391" t="s">
        <v>36</v>
      </c>
      <c r="I169" s="391" t="s">
        <v>119</v>
      </c>
      <c r="J169" s="383" t="s">
        <v>23</v>
      </c>
      <c r="K169" s="392" t="s">
        <v>24</v>
      </c>
      <c r="L169" s="392" t="s">
        <v>25</v>
      </c>
      <c r="M169" s="393" t="s">
        <v>82</v>
      </c>
      <c r="N169" s="392" t="s">
        <v>234</v>
      </c>
      <c r="O169" s="391">
        <v>2170711</v>
      </c>
    </row>
    <row r="170" spans="1:15" ht="27.75" customHeight="1" x14ac:dyDescent="0.35">
      <c r="A170" s="387" t="s">
        <v>205</v>
      </c>
      <c r="B170" s="378" t="s">
        <v>740</v>
      </c>
      <c r="C170" s="388" t="s">
        <v>741</v>
      </c>
      <c r="D170" s="389">
        <v>7725000</v>
      </c>
      <c r="E170" s="390">
        <v>46232</v>
      </c>
      <c r="F170" s="390">
        <v>46369</v>
      </c>
      <c r="G170" s="391" t="s">
        <v>20</v>
      </c>
      <c r="H170" s="391" t="s">
        <v>36</v>
      </c>
      <c r="I170" s="391" t="s">
        <v>119</v>
      </c>
      <c r="J170" s="383" t="s">
        <v>23</v>
      </c>
      <c r="K170" s="392" t="s">
        <v>24</v>
      </c>
      <c r="L170" s="392" t="s">
        <v>25</v>
      </c>
      <c r="M170" s="393" t="s">
        <v>82</v>
      </c>
      <c r="N170" s="392" t="s">
        <v>208</v>
      </c>
      <c r="O170" s="391">
        <v>2170711</v>
      </c>
    </row>
    <row r="171" spans="1:15" ht="27.75" customHeight="1" x14ac:dyDescent="0.35">
      <c r="A171" s="387" t="s">
        <v>742</v>
      </c>
      <c r="B171" s="384" t="s">
        <v>743</v>
      </c>
      <c r="C171" s="388" t="s">
        <v>744</v>
      </c>
      <c r="D171" s="389">
        <v>8240000</v>
      </c>
      <c r="E171" s="390">
        <v>46238</v>
      </c>
      <c r="F171" s="390">
        <v>46374</v>
      </c>
      <c r="G171" s="391" t="s">
        <v>20</v>
      </c>
      <c r="H171" s="391" t="s">
        <v>36</v>
      </c>
      <c r="I171" s="391" t="s">
        <v>87</v>
      </c>
      <c r="J171" s="383" t="s">
        <v>23</v>
      </c>
      <c r="K171" s="392" t="s">
        <v>24</v>
      </c>
      <c r="L171" s="392" t="s">
        <v>25</v>
      </c>
      <c r="M171" s="393" t="s">
        <v>82</v>
      </c>
      <c r="N171" s="392" t="s">
        <v>88</v>
      </c>
      <c r="O171" s="391">
        <v>2170711</v>
      </c>
    </row>
    <row r="172" spans="1:15" ht="27.75" customHeight="1" x14ac:dyDescent="0.35">
      <c r="A172" s="387" t="s">
        <v>189</v>
      </c>
      <c r="B172" s="378" t="s">
        <v>745</v>
      </c>
      <c r="C172" s="388" t="s">
        <v>746</v>
      </c>
      <c r="D172" s="389">
        <v>8240000</v>
      </c>
      <c r="E172" s="390">
        <v>46233</v>
      </c>
      <c r="F172" s="390">
        <v>46370</v>
      </c>
      <c r="G172" s="391" t="s">
        <v>20</v>
      </c>
      <c r="H172" s="391" t="s">
        <v>36</v>
      </c>
      <c r="I172" s="391" t="s">
        <v>87</v>
      </c>
      <c r="J172" s="383" t="s">
        <v>23</v>
      </c>
      <c r="K172" s="392" t="s">
        <v>24</v>
      </c>
      <c r="L172" s="392" t="s">
        <v>25</v>
      </c>
      <c r="M172" s="393" t="s">
        <v>82</v>
      </c>
      <c r="N172" s="392" t="s">
        <v>192</v>
      </c>
      <c r="O172" s="391">
        <v>2170711</v>
      </c>
    </row>
    <row r="173" spans="1:15" ht="27.75" customHeight="1" x14ac:dyDescent="0.35">
      <c r="A173" s="387" t="s">
        <v>185</v>
      </c>
      <c r="B173" s="384" t="s">
        <v>747</v>
      </c>
      <c r="C173" s="388" t="s">
        <v>748</v>
      </c>
      <c r="D173" s="389">
        <v>4100000</v>
      </c>
      <c r="E173" s="390">
        <v>46238</v>
      </c>
      <c r="F173" s="390">
        <v>46374</v>
      </c>
      <c r="G173" s="391" t="s">
        <v>20</v>
      </c>
      <c r="H173" s="391" t="s">
        <v>141</v>
      </c>
      <c r="I173" s="391" t="s">
        <v>31</v>
      </c>
      <c r="J173" s="383" t="s">
        <v>23</v>
      </c>
      <c r="K173" s="392" t="s">
        <v>24</v>
      </c>
      <c r="L173" s="392" t="s">
        <v>25</v>
      </c>
      <c r="M173" s="393" t="s">
        <v>82</v>
      </c>
      <c r="N173" s="392" t="s">
        <v>188</v>
      </c>
      <c r="O173" s="391">
        <v>2170711</v>
      </c>
    </row>
    <row r="174" spans="1:15" ht="27.75" customHeight="1" x14ac:dyDescent="0.35">
      <c r="A174" s="387" t="s">
        <v>235</v>
      </c>
      <c r="B174" s="381" t="s">
        <v>749</v>
      </c>
      <c r="C174" s="388" t="s">
        <v>750</v>
      </c>
      <c r="D174" s="389">
        <v>7210000</v>
      </c>
      <c r="E174" s="390">
        <v>46232</v>
      </c>
      <c r="F174" s="390">
        <v>46369</v>
      </c>
      <c r="G174" s="391" t="s">
        <v>20</v>
      </c>
      <c r="H174" s="391" t="s">
        <v>36</v>
      </c>
      <c r="I174" s="391" t="s">
        <v>119</v>
      </c>
      <c r="J174" s="383" t="s">
        <v>23</v>
      </c>
      <c r="K174" s="392" t="s">
        <v>238</v>
      </c>
      <c r="L174" s="392" t="s">
        <v>239</v>
      </c>
      <c r="M174" s="393" t="s">
        <v>82</v>
      </c>
      <c r="N174" s="392" t="s">
        <v>240</v>
      </c>
      <c r="O174" s="391">
        <v>2170711</v>
      </c>
    </row>
    <row r="175" spans="1:15" ht="27.75" customHeight="1" x14ac:dyDescent="0.35">
      <c r="A175" s="387" t="s">
        <v>213</v>
      </c>
      <c r="B175" s="381" t="s">
        <v>751</v>
      </c>
      <c r="C175" s="388" t="s">
        <v>752</v>
      </c>
      <c r="D175" s="389">
        <v>9270000</v>
      </c>
      <c r="E175" s="390">
        <v>46232</v>
      </c>
      <c r="F175" s="390">
        <v>46354</v>
      </c>
      <c r="G175" s="391" t="s">
        <v>20</v>
      </c>
      <c r="H175" s="391" t="s">
        <v>78</v>
      </c>
      <c r="I175" s="391" t="s">
        <v>216</v>
      </c>
      <c r="J175" s="383" t="s">
        <v>23</v>
      </c>
      <c r="K175" s="392" t="s">
        <v>217</v>
      </c>
      <c r="L175" s="392" t="s">
        <v>218</v>
      </c>
      <c r="M175" s="393" t="s">
        <v>82</v>
      </c>
      <c r="N175" s="392" t="s">
        <v>219</v>
      </c>
      <c r="O175" s="391">
        <v>2170711</v>
      </c>
    </row>
    <row r="176" spans="1:15" ht="27.75" customHeight="1" x14ac:dyDescent="0.35">
      <c r="A176" s="387" t="s">
        <v>103</v>
      </c>
      <c r="B176" s="384" t="s">
        <v>753</v>
      </c>
      <c r="C176" s="388" t="s">
        <v>754</v>
      </c>
      <c r="D176" s="389">
        <v>5500000</v>
      </c>
      <c r="E176" s="390">
        <v>46237</v>
      </c>
      <c r="F176" s="390">
        <v>46373</v>
      </c>
      <c r="G176" s="391" t="s">
        <v>20</v>
      </c>
      <c r="H176" s="391" t="s">
        <v>36</v>
      </c>
      <c r="I176" s="391" t="s">
        <v>106</v>
      </c>
      <c r="J176" s="383" t="s">
        <v>23</v>
      </c>
      <c r="K176" s="392" t="s">
        <v>24</v>
      </c>
      <c r="L176" s="392" t="s">
        <v>25</v>
      </c>
      <c r="M176" s="393" t="s">
        <v>82</v>
      </c>
      <c r="N176" s="392" t="s">
        <v>107</v>
      </c>
      <c r="O176" s="391">
        <v>2170711</v>
      </c>
    </row>
    <row r="177" spans="1:15" ht="27.75" customHeight="1" x14ac:dyDescent="0.35">
      <c r="A177" s="387" t="s">
        <v>755</v>
      </c>
      <c r="B177" s="384" t="s">
        <v>756</v>
      </c>
      <c r="C177" s="388" t="s">
        <v>757</v>
      </c>
      <c r="D177" s="389">
        <v>8240000</v>
      </c>
      <c r="E177" s="390">
        <v>46237</v>
      </c>
      <c r="F177" s="390">
        <v>46358</v>
      </c>
      <c r="G177" s="391" t="s">
        <v>20</v>
      </c>
      <c r="H177" s="391" t="s">
        <v>36</v>
      </c>
      <c r="I177" s="391" t="s">
        <v>87</v>
      </c>
      <c r="J177" s="383" t="s">
        <v>23</v>
      </c>
      <c r="K177" s="392" t="s">
        <v>24</v>
      </c>
      <c r="L177" s="392" t="s">
        <v>25</v>
      </c>
      <c r="M177" s="393" t="s">
        <v>82</v>
      </c>
      <c r="N177" s="392" t="s">
        <v>276</v>
      </c>
      <c r="O177" s="391">
        <v>2170711</v>
      </c>
    </row>
    <row r="178" spans="1:15" ht="27.75" customHeight="1" x14ac:dyDescent="0.35">
      <c r="A178" s="387" t="s">
        <v>758</v>
      </c>
      <c r="B178" s="385" t="s">
        <v>759</v>
      </c>
      <c r="C178" s="388" t="s">
        <v>760</v>
      </c>
      <c r="D178" s="389">
        <v>6800000</v>
      </c>
      <c r="E178" s="390">
        <v>46239</v>
      </c>
      <c r="F178" s="390">
        <v>46375</v>
      </c>
      <c r="G178" s="391" t="s">
        <v>20</v>
      </c>
      <c r="H178" s="391" t="s">
        <v>36</v>
      </c>
      <c r="I178" s="391" t="s">
        <v>37</v>
      </c>
      <c r="J178" s="383" t="s">
        <v>23</v>
      </c>
      <c r="K178" s="392" t="s">
        <v>24</v>
      </c>
      <c r="L178" s="392" t="s">
        <v>25</v>
      </c>
      <c r="M178" s="393" t="s">
        <v>530</v>
      </c>
      <c r="N178" s="392" t="s">
        <v>761</v>
      </c>
      <c r="O178" s="391">
        <v>2170711</v>
      </c>
    </row>
    <row r="179" spans="1:15" ht="27.75" customHeight="1" x14ac:dyDescent="0.35">
      <c r="A179" s="387" t="s">
        <v>89</v>
      </c>
      <c r="B179" s="381" t="s">
        <v>762</v>
      </c>
      <c r="C179" s="388" t="s">
        <v>763</v>
      </c>
      <c r="D179" s="389">
        <v>4300000</v>
      </c>
      <c r="E179" s="390">
        <v>46232</v>
      </c>
      <c r="F179" s="390">
        <v>46369</v>
      </c>
      <c r="G179" s="391" t="s">
        <v>20</v>
      </c>
      <c r="H179" s="391" t="s">
        <v>21</v>
      </c>
      <c r="I179" s="391" t="s">
        <v>22</v>
      </c>
      <c r="J179" s="383" t="s">
        <v>23</v>
      </c>
      <c r="K179" s="392" t="s">
        <v>92</v>
      </c>
      <c r="L179" s="392" t="s">
        <v>93</v>
      </c>
      <c r="M179" s="393" t="s">
        <v>82</v>
      </c>
      <c r="N179" s="392" t="s">
        <v>94</v>
      </c>
      <c r="O179" s="391">
        <v>2170711</v>
      </c>
    </row>
    <row r="180" spans="1:15" ht="27.75" customHeight="1" x14ac:dyDescent="0.35">
      <c r="A180" s="387" t="s">
        <v>193</v>
      </c>
      <c r="B180" s="384" t="s">
        <v>764</v>
      </c>
      <c r="C180" s="388" t="s">
        <v>765</v>
      </c>
      <c r="D180" s="389">
        <v>6180000</v>
      </c>
      <c r="E180" s="390">
        <v>46237</v>
      </c>
      <c r="F180" s="390">
        <v>46373</v>
      </c>
      <c r="G180" s="391" t="s">
        <v>20</v>
      </c>
      <c r="H180" s="391" t="s">
        <v>36</v>
      </c>
      <c r="I180" s="391" t="s">
        <v>37</v>
      </c>
      <c r="J180" s="383" t="s">
        <v>23</v>
      </c>
      <c r="K180" s="392" t="s">
        <v>24</v>
      </c>
      <c r="L180" s="392" t="s">
        <v>25</v>
      </c>
      <c r="M180" s="393" t="s">
        <v>82</v>
      </c>
      <c r="N180" s="392" t="s">
        <v>196</v>
      </c>
      <c r="O180" s="391">
        <v>2170711</v>
      </c>
    </row>
    <row r="181" spans="1:15" ht="27.75" customHeight="1" x14ac:dyDescent="0.35">
      <c r="A181" s="387" t="s">
        <v>252</v>
      </c>
      <c r="B181" s="381" t="s">
        <v>766</v>
      </c>
      <c r="C181" s="388" t="s">
        <v>767</v>
      </c>
      <c r="D181" s="389">
        <v>7210000</v>
      </c>
      <c r="E181" s="390">
        <v>46233</v>
      </c>
      <c r="F181" s="390">
        <v>46370</v>
      </c>
      <c r="G181" s="391" t="s">
        <v>20</v>
      </c>
      <c r="H181" s="391" t="s">
        <v>36</v>
      </c>
      <c r="I181" s="391" t="s">
        <v>119</v>
      </c>
      <c r="J181" s="383" t="s">
        <v>23</v>
      </c>
      <c r="K181" s="392" t="s">
        <v>24</v>
      </c>
      <c r="L181" s="392" t="s">
        <v>25</v>
      </c>
      <c r="M181" s="393" t="s">
        <v>82</v>
      </c>
      <c r="N181" s="392" t="s">
        <v>255</v>
      </c>
      <c r="O181" s="391">
        <v>2170711</v>
      </c>
    </row>
    <row r="182" spans="1:15" ht="27.75" customHeight="1" x14ac:dyDescent="0.35">
      <c r="A182" s="387" t="s">
        <v>431</v>
      </c>
      <c r="B182" s="384" t="s">
        <v>768</v>
      </c>
      <c r="C182" s="388" t="s">
        <v>769</v>
      </c>
      <c r="D182" s="389">
        <v>6180000</v>
      </c>
      <c r="E182" s="390">
        <v>46239</v>
      </c>
      <c r="F182" s="390">
        <v>46375</v>
      </c>
      <c r="G182" s="391" t="s">
        <v>20</v>
      </c>
      <c r="H182" s="391" t="s">
        <v>36</v>
      </c>
      <c r="I182" s="391" t="s">
        <v>37</v>
      </c>
      <c r="J182" s="383" t="s">
        <v>23</v>
      </c>
      <c r="K182" s="392" t="s">
        <v>24</v>
      </c>
      <c r="L182" s="392" t="s">
        <v>434</v>
      </c>
      <c r="M182" s="393" t="s">
        <v>82</v>
      </c>
      <c r="N182" s="392" t="s">
        <v>435</v>
      </c>
      <c r="O182" s="391">
        <v>2170711</v>
      </c>
    </row>
    <row r="183" spans="1:15" ht="27.75" customHeight="1" x14ac:dyDescent="0.35">
      <c r="A183" s="387" t="s">
        <v>290</v>
      </c>
      <c r="B183" s="384" t="s">
        <v>770</v>
      </c>
      <c r="C183" s="388" t="s">
        <v>771</v>
      </c>
      <c r="D183" s="389">
        <v>7210000</v>
      </c>
      <c r="E183" s="390">
        <v>46239</v>
      </c>
      <c r="F183" s="390">
        <v>46375</v>
      </c>
      <c r="G183" s="391" t="s">
        <v>20</v>
      </c>
      <c r="H183" s="391" t="s">
        <v>36</v>
      </c>
      <c r="I183" s="391" t="s">
        <v>119</v>
      </c>
      <c r="J183" s="383" t="s">
        <v>23</v>
      </c>
      <c r="K183" s="392" t="s">
        <v>248</v>
      </c>
      <c r="L183" s="392" t="s">
        <v>249</v>
      </c>
      <c r="M183" s="393" t="s">
        <v>82</v>
      </c>
      <c r="N183" s="392" t="s">
        <v>293</v>
      </c>
      <c r="O183" s="391">
        <v>2170711</v>
      </c>
    </row>
    <row r="184" spans="1:15" ht="27.75" customHeight="1" x14ac:dyDescent="0.35">
      <c r="A184" s="387" t="s">
        <v>277</v>
      </c>
      <c r="B184" s="384" t="s">
        <v>772</v>
      </c>
      <c r="C184" s="388" t="s">
        <v>773</v>
      </c>
      <c r="D184" s="389">
        <v>8240000</v>
      </c>
      <c r="E184" s="390">
        <v>46245</v>
      </c>
      <c r="F184" s="390">
        <v>46381</v>
      </c>
      <c r="G184" s="391" t="s">
        <v>20</v>
      </c>
      <c r="H184" s="391" t="s">
        <v>36</v>
      </c>
      <c r="I184" s="391" t="s">
        <v>87</v>
      </c>
      <c r="J184" s="383" t="s">
        <v>23</v>
      </c>
      <c r="K184" s="392" t="s">
        <v>24</v>
      </c>
      <c r="L184" s="392" t="s">
        <v>25</v>
      </c>
      <c r="M184" s="393" t="s">
        <v>82</v>
      </c>
      <c r="N184" s="392" t="s">
        <v>280</v>
      </c>
      <c r="O184" s="391">
        <v>2170711</v>
      </c>
    </row>
    <row r="185" spans="1:15" ht="27.75" customHeight="1" x14ac:dyDescent="0.35">
      <c r="A185" s="387" t="s">
        <v>774</v>
      </c>
      <c r="B185" s="378" t="s">
        <v>775</v>
      </c>
      <c r="C185" s="388" t="s">
        <v>776</v>
      </c>
      <c r="D185" s="389">
        <v>6000000</v>
      </c>
      <c r="E185" s="390">
        <v>46234</v>
      </c>
      <c r="F185" s="390">
        <v>46356</v>
      </c>
      <c r="G185" s="391" t="s">
        <v>20</v>
      </c>
      <c r="H185" s="391" t="s">
        <v>36</v>
      </c>
      <c r="I185" s="391" t="s">
        <v>37</v>
      </c>
      <c r="J185" s="383" t="s">
        <v>23</v>
      </c>
      <c r="K185" s="392" t="s">
        <v>24</v>
      </c>
      <c r="L185" s="392" t="s">
        <v>25</v>
      </c>
      <c r="M185" s="393" t="s">
        <v>26</v>
      </c>
      <c r="N185" s="392" t="s">
        <v>700</v>
      </c>
      <c r="O185" s="391">
        <v>2170711</v>
      </c>
    </row>
    <row r="186" spans="1:15" ht="27.75" customHeight="1" x14ac:dyDescent="0.35">
      <c r="A186" s="387" t="s">
        <v>777</v>
      </c>
      <c r="B186" s="378" t="s">
        <v>778</v>
      </c>
      <c r="C186" s="388" t="s">
        <v>779</v>
      </c>
      <c r="D186" s="389">
        <v>8000000</v>
      </c>
      <c r="E186" s="390">
        <v>46233</v>
      </c>
      <c r="F186" s="390">
        <v>46355</v>
      </c>
      <c r="G186" s="391" t="s">
        <v>20</v>
      </c>
      <c r="H186" s="391" t="s">
        <v>36</v>
      </c>
      <c r="I186" s="391" t="s">
        <v>87</v>
      </c>
      <c r="J186" s="383" t="s">
        <v>23</v>
      </c>
      <c r="K186" s="392" t="s">
        <v>780</v>
      </c>
      <c r="L186" s="392" t="s">
        <v>781</v>
      </c>
      <c r="M186" s="393" t="s">
        <v>26</v>
      </c>
      <c r="N186" s="392" t="s">
        <v>782</v>
      </c>
      <c r="O186" s="391">
        <v>2170711</v>
      </c>
    </row>
    <row r="187" spans="1:15" ht="27.75" customHeight="1" x14ac:dyDescent="0.35">
      <c r="A187" s="387" t="s">
        <v>783</v>
      </c>
      <c r="B187" s="378" t="s">
        <v>784</v>
      </c>
      <c r="C187" s="388" t="s">
        <v>785</v>
      </c>
      <c r="D187" s="389">
        <v>4330000</v>
      </c>
      <c r="E187" s="390">
        <v>46233</v>
      </c>
      <c r="F187" s="390">
        <v>46355</v>
      </c>
      <c r="G187" s="391" t="s">
        <v>20</v>
      </c>
      <c r="H187" s="391" t="s">
        <v>21</v>
      </c>
      <c r="I187" s="391" t="s">
        <v>22</v>
      </c>
      <c r="J187" s="383" t="s">
        <v>23</v>
      </c>
      <c r="K187" s="392" t="s">
        <v>24</v>
      </c>
      <c r="L187" s="392" t="s">
        <v>25</v>
      </c>
      <c r="M187" s="393" t="s">
        <v>26</v>
      </c>
      <c r="N187" s="392" t="s">
        <v>359</v>
      </c>
      <c r="O187" s="391">
        <v>2170711</v>
      </c>
    </row>
    <row r="188" spans="1:15" ht="27.75" customHeight="1" x14ac:dyDescent="0.35">
      <c r="A188" s="387" t="s">
        <v>786</v>
      </c>
      <c r="B188" s="378" t="s">
        <v>787</v>
      </c>
      <c r="C188" s="388" t="s">
        <v>788</v>
      </c>
      <c r="D188" s="389">
        <v>5500000</v>
      </c>
      <c r="E188" s="390">
        <v>46233</v>
      </c>
      <c r="F188" s="390">
        <v>46355</v>
      </c>
      <c r="G188" s="391" t="s">
        <v>20</v>
      </c>
      <c r="H188" s="391" t="s">
        <v>36</v>
      </c>
      <c r="I188" s="391" t="s">
        <v>106</v>
      </c>
      <c r="J188" s="383" t="s">
        <v>23</v>
      </c>
      <c r="K188" s="392" t="s">
        <v>24</v>
      </c>
      <c r="L188" s="392" t="s">
        <v>25</v>
      </c>
      <c r="M188" s="393" t="s">
        <v>26</v>
      </c>
      <c r="N188" s="392" t="s">
        <v>452</v>
      </c>
      <c r="O188" s="391">
        <v>2170711</v>
      </c>
    </row>
    <row r="189" spans="1:15" ht="27.75" customHeight="1" x14ac:dyDescent="0.35">
      <c r="A189" s="387" t="s">
        <v>453</v>
      </c>
      <c r="B189" s="378" t="s">
        <v>789</v>
      </c>
      <c r="C189" s="388" t="s">
        <v>790</v>
      </c>
      <c r="D189" s="389">
        <v>5315000</v>
      </c>
      <c r="E189" s="390">
        <v>46233</v>
      </c>
      <c r="F189" s="390">
        <v>46355</v>
      </c>
      <c r="G189" s="391" t="s">
        <v>20</v>
      </c>
      <c r="H189" s="391" t="s">
        <v>36</v>
      </c>
      <c r="I189" s="391" t="s">
        <v>106</v>
      </c>
      <c r="J189" s="383" t="s">
        <v>23</v>
      </c>
      <c r="K189" s="392" t="s">
        <v>24</v>
      </c>
      <c r="L189" s="392" t="s">
        <v>25</v>
      </c>
      <c r="M189" s="393" t="s">
        <v>26</v>
      </c>
      <c r="N189" s="392" t="s">
        <v>456</v>
      </c>
      <c r="O189" s="391">
        <v>2170711</v>
      </c>
    </row>
    <row r="190" spans="1:15" ht="27.75" customHeight="1" x14ac:dyDescent="0.35">
      <c r="A190" s="387" t="s">
        <v>791</v>
      </c>
      <c r="B190" s="378" t="s">
        <v>792</v>
      </c>
      <c r="C190" s="388" t="s">
        <v>793</v>
      </c>
      <c r="D190" s="389">
        <v>7220000</v>
      </c>
      <c r="E190" s="390">
        <v>46233</v>
      </c>
      <c r="F190" s="390">
        <v>46355</v>
      </c>
      <c r="G190" s="391" t="s">
        <v>20</v>
      </c>
      <c r="H190" s="391" t="s">
        <v>36</v>
      </c>
      <c r="I190" s="391" t="s">
        <v>119</v>
      </c>
      <c r="J190" s="383" t="s">
        <v>23</v>
      </c>
      <c r="K190" s="392" t="s">
        <v>24</v>
      </c>
      <c r="L190" s="392" t="s">
        <v>25</v>
      </c>
      <c r="M190" s="393" t="s">
        <v>26</v>
      </c>
      <c r="N190" s="392" t="s">
        <v>448</v>
      </c>
      <c r="O190" s="391">
        <v>2170711</v>
      </c>
    </row>
    <row r="191" spans="1:15" ht="27.75" customHeight="1" x14ac:dyDescent="0.35">
      <c r="A191" s="387" t="s">
        <v>794</v>
      </c>
      <c r="B191" s="378" t="s">
        <v>795</v>
      </c>
      <c r="C191" s="388" t="s">
        <v>796</v>
      </c>
      <c r="D191" s="389">
        <v>8000000</v>
      </c>
      <c r="E191" s="390">
        <v>46233</v>
      </c>
      <c r="F191" s="390">
        <v>46355</v>
      </c>
      <c r="G191" s="391" t="s">
        <v>20</v>
      </c>
      <c r="H191" s="391" t="s">
        <v>36</v>
      </c>
      <c r="I191" s="391" t="s">
        <v>87</v>
      </c>
      <c r="J191" s="383" t="s">
        <v>23</v>
      </c>
      <c r="K191" s="392" t="s">
        <v>24</v>
      </c>
      <c r="L191" s="392" t="s">
        <v>641</v>
      </c>
      <c r="M191" s="393" t="s">
        <v>26</v>
      </c>
      <c r="N191" s="392" t="s">
        <v>642</v>
      </c>
      <c r="O191" s="391">
        <v>2170711</v>
      </c>
    </row>
    <row r="192" spans="1:15" ht="27.75" customHeight="1" x14ac:dyDescent="0.35">
      <c r="A192" s="387" t="s">
        <v>116</v>
      </c>
      <c r="B192" s="384" t="s">
        <v>797</v>
      </c>
      <c r="C192" s="388" t="s">
        <v>798</v>
      </c>
      <c r="D192" s="389">
        <v>7200000</v>
      </c>
      <c r="E192" s="390">
        <v>46237</v>
      </c>
      <c r="F192" s="390">
        <v>46373</v>
      </c>
      <c r="G192" s="391" t="s">
        <v>20</v>
      </c>
      <c r="H192" s="391" t="s">
        <v>36</v>
      </c>
      <c r="I192" s="391" t="s">
        <v>119</v>
      </c>
      <c r="J192" s="383" t="s">
        <v>23</v>
      </c>
      <c r="K192" s="392" t="s">
        <v>24</v>
      </c>
      <c r="L192" s="392" t="s">
        <v>25</v>
      </c>
      <c r="M192" s="393" t="s">
        <v>82</v>
      </c>
      <c r="N192" s="392" t="s">
        <v>120</v>
      </c>
      <c r="O192" s="391">
        <v>2170711</v>
      </c>
    </row>
    <row r="193" spans="1:15" ht="27.75" customHeight="1" x14ac:dyDescent="0.35">
      <c r="A193" s="387" t="s">
        <v>220</v>
      </c>
      <c r="B193" s="381" t="s">
        <v>799</v>
      </c>
      <c r="C193" s="388" t="s">
        <v>800</v>
      </c>
      <c r="D193" s="389">
        <v>8240000</v>
      </c>
      <c r="E193" s="390">
        <v>46233</v>
      </c>
      <c r="F193" s="390">
        <v>46370</v>
      </c>
      <c r="G193" s="391" t="s">
        <v>20</v>
      </c>
      <c r="H193" s="391" t="s">
        <v>36</v>
      </c>
      <c r="I193" s="391" t="s">
        <v>87</v>
      </c>
      <c r="J193" s="383" t="s">
        <v>23</v>
      </c>
      <c r="K193" s="392" t="s">
        <v>24</v>
      </c>
      <c r="L193" s="392" t="s">
        <v>25</v>
      </c>
      <c r="M193" s="393" t="s">
        <v>82</v>
      </c>
      <c r="N193" s="392" t="s">
        <v>223</v>
      </c>
      <c r="O193" s="391">
        <v>2170711</v>
      </c>
    </row>
    <row r="194" spans="1:15" ht="27.75" customHeight="1" x14ac:dyDescent="0.35">
      <c r="A194" s="387" t="s">
        <v>322</v>
      </c>
      <c r="B194" s="384" t="s">
        <v>801</v>
      </c>
      <c r="C194" s="388" t="s">
        <v>802</v>
      </c>
      <c r="D194" s="389">
        <v>3000000</v>
      </c>
      <c r="E194" s="390">
        <v>46245</v>
      </c>
      <c r="F194" s="390">
        <v>46381</v>
      </c>
      <c r="G194" s="391" t="s">
        <v>20</v>
      </c>
      <c r="H194" s="391" t="s">
        <v>36</v>
      </c>
      <c r="I194" s="391" t="s">
        <v>325</v>
      </c>
      <c r="J194" s="383" t="s">
        <v>23</v>
      </c>
      <c r="K194" s="392" t="s">
        <v>24</v>
      </c>
      <c r="L194" s="392" t="s">
        <v>25</v>
      </c>
      <c r="M194" s="393" t="s">
        <v>82</v>
      </c>
      <c r="N194" s="392" t="s">
        <v>326</v>
      </c>
      <c r="O194" s="391">
        <v>2170711</v>
      </c>
    </row>
    <row r="195" spans="1:15" ht="27.75" customHeight="1" x14ac:dyDescent="0.35">
      <c r="A195" s="387" t="s">
        <v>108</v>
      </c>
      <c r="B195" s="384" t="s">
        <v>803</v>
      </c>
      <c r="C195" s="388" t="s">
        <v>804</v>
      </c>
      <c r="D195" s="389">
        <v>6180000</v>
      </c>
      <c r="E195" s="390">
        <v>46245</v>
      </c>
      <c r="F195" s="390">
        <v>46381</v>
      </c>
      <c r="G195" s="391" t="s">
        <v>20</v>
      </c>
      <c r="H195" s="391" t="s">
        <v>36</v>
      </c>
      <c r="I195" s="391" t="s">
        <v>37</v>
      </c>
      <c r="J195" s="383" t="s">
        <v>23</v>
      </c>
      <c r="K195" s="392" t="s">
        <v>24</v>
      </c>
      <c r="L195" s="392" t="s">
        <v>25</v>
      </c>
      <c r="M195" s="393" t="s">
        <v>82</v>
      </c>
      <c r="N195" s="392" t="s">
        <v>111</v>
      </c>
      <c r="O195" s="391">
        <v>2170711</v>
      </c>
    </row>
    <row r="196" spans="1:15" ht="27.75" customHeight="1" x14ac:dyDescent="0.35">
      <c r="A196" s="387" t="s">
        <v>201</v>
      </c>
      <c r="B196" s="385" t="s">
        <v>805</v>
      </c>
      <c r="C196" s="388" t="s">
        <v>806</v>
      </c>
      <c r="D196" s="389">
        <v>4120000</v>
      </c>
      <c r="E196" s="390">
        <v>46238</v>
      </c>
      <c r="F196" s="390">
        <v>46381</v>
      </c>
      <c r="G196" s="391" t="s">
        <v>20</v>
      </c>
      <c r="H196" s="391" t="s">
        <v>21</v>
      </c>
      <c r="I196" s="391" t="s">
        <v>22</v>
      </c>
      <c r="J196" s="383" t="s">
        <v>23</v>
      </c>
      <c r="K196" s="392" t="s">
        <v>24</v>
      </c>
      <c r="L196" s="392" t="s">
        <v>25</v>
      </c>
      <c r="M196" s="393" t="s">
        <v>82</v>
      </c>
      <c r="N196" s="392" t="s">
        <v>204</v>
      </c>
      <c r="O196" s="391">
        <v>2170711</v>
      </c>
    </row>
    <row r="197" spans="1:15" ht="27.75" customHeight="1" x14ac:dyDescent="0.35">
      <c r="A197" s="387" t="s">
        <v>807</v>
      </c>
      <c r="B197" s="384" t="s">
        <v>808</v>
      </c>
      <c r="C197" s="388" t="s">
        <v>809</v>
      </c>
      <c r="D197" s="389">
        <v>6000000</v>
      </c>
      <c r="E197" s="390">
        <v>46239</v>
      </c>
      <c r="F197" s="390">
        <v>46359</v>
      </c>
      <c r="G197" s="391" t="s">
        <v>20</v>
      </c>
      <c r="H197" s="391" t="s">
        <v>36</v>
      </c>
      <c r="I197" s="391" t="s">
        <v>119</v>
      </c>
      <c r="J197" s="383" t="s">
        <v>23</v>
      </c>
      <c r="K197" s="392" t="s">
        <v>24</v>
      </c>
      <c r="L197" s="392" t="s">
        <v>25</v>
      </c>
      <c r="M197" s="393" t="s">
        <v>82</v>
      </c>
      <c r="N197" s="392" t="s">
        <v>810</v>
      </c>
      <c r="O197" s="391">
        <v>2170711</v>
      </c>
    </row>
    <row r="198" spans="1:15" ht="27.75" customHeight="1" x14ac:dyDescent="0.35">
      <c r="A198" s="387" t="s">
        <v>269</v>
      </c>
      <c r="B198" s="384" t="s">
        <v>811</v>
      </c>
      <c r="C198" s="388" t="s">
        <v>812</v>
      </c>
      <c r="D198" s="389">
        <v>9570000</v>
      </c>
      <c r="E198" s="390">
        <v>46238</v>
      </c>
      <c r="F198" s="390">
        <v>46375</v>
      </c>
      <c r="G198" s="391" t="s">
        <v>20</v>
      </c>
      <c r="H198" s="391" t="s">
        <v>78</v>
      </c>
      <c r="I198" s="391" t="s">
        <v>216</v>
      </c>
      <c r="J198" s="383" t="s">
        <v>23</v>
      </c>
      <c r="K198" s="392" t="s">
        <v>24</v>
      </c>
      <c r="L198" s="392" t="s">
        <v>25</v>
      </c>
      <c r="M198" s="393" t="s">
        <v>82</v>
      </c>
      <c r="N198" s="392" t="s">
        <v>272</v>
      </c>
      <c r="O198" s="391">
        <v>2170711</v>
      </c>
    </row>
    <row r="199" spans="1:15" ht="27.75" customHeight="1" x14ac:dyDescent="0.35">
      <c r="A199" s="387" t="s">
        <v>813</v>
      </c>
      <c r="B199" s="384" t="s">
        <v>814</v>
      </c>
      <c r="C199" s="388" t="s">
        <v>815</v>
      </c>
      <c r="D199" s="389">
        <v>8000000</v>
      </c>
      <c r="E199" s="390">
        <v>46239</v>
      </c>
      <c r="F199" s="390">
        <v>46360</v>
      </c>
      <c r="G199" s="391" t="s">
        <v>20</v>
      </c>
      <c r="H199" s="391" t="s">
        <v>36</v>
      </c>
      <c r="I199" s="391" t="s">
        <v>87</v>
      </c>
      <c r="J199" s="383" t="s">
        <v>23</v>
      </c>
      <c r="K199" s="392" t="s">
        <v>63</v>
      </c>
      <c r="L199" s="392" t="s">
        <v>320</v>
      </c>
      <c r="M199" s="393" t="s">
        <v>250</v>
      </c>
      <c r="N199" s="392" t="e">
        <v>#N/A</v>
      </c>
      <c r="O199" s="391">
        <v>2170711</v>
      </c>
    </row>
    <row r="200" spans="1:15" ht="27.75" customHeight="1" x14ac:dyDescent="0.35">
      <c r="A200" s="387" t="s">
        <v>816</v>
      </c>
      <c r="B200" s="384" t="s">
        <v>817</v>
      </c>
      <c r="C200" s="388" t="s">
        <v>818</v>
      </c>
      <c r="D200" s="389">
        <v>3000000</v>
      </c>
      <c r="E200" s="390">
        <v>46247</v>
      </c>
      <c r="F200" s="390">
        <v>46368</v>
      </c>
      <c r="G200" s="391" t="s">
        <v>20</v>
      </c>
      <c r="H200" s="391" t="s">
        <v>36</v>
      </c>
      <c r="I200" s="391" t="s">
        <v>325</v>
      </c>
      <c r="J200" s="383" t="s">
        <v>23</v>
      </c>
      <c r="K200" s="392" t="s">
        <v>24</v>
      </c>
      <c r="L200" s="392" t="s">
        <v>25</v>
      </c>
      <c r="M200" s="393" t="s">
        <v>82</v>
      </c>
      <c r="N200" s="382" t="s">
        <v>819</v>
      </c>
      <c r="O200" s="391">
        <v>2170711</v>
      </c>
    </row>
    <row r="201" spans="1:15" ht="27.75" customHeight="1" x14ac:dyDescent="0.35">
      <c r="A201" s="387" t="s">
        <v>504</v>
      </c>
      <c r="B201" s="384" t="s">
        <v>820</v>
      </c>
      <c r="C201" s="388" t="s">
        <v>821</v>
      </c>
      <c r="D201" s="389">
        <v>8000000</v>
      </c>
      <c r="E201" s="390">
        <v>46244</v>
      </c>
      <c r="F201" s="390">
        <v>46365</v>
      </c>
      <c r="G201" s="391" t="s">
        <v>20</v>
      </c>
      <c r="H201" s="391" t="s">
        <v>36</v>
      </c>
      <c r="I201" s="391" t="s">
        <v>87</v>
      </c>
      <c r="J201" s="383" t="s">
        <v>23</v>
      </c>
      <c r="K201" s="392" t="s">
        <v>63</v>
      </c>
      <c r="L201" s="392" t="s">
        <v>320</v>
      </c>
      <c r="M201" s="393" t="s">
        <v>26</v>
      </c>
      <c r="N201" s="392" t="s">
        <v>507</v>
      </c>
      <c r="O201" s="391">
        <v>2170711</v>
      </c>
    </row>
    <row r="202" spans="1:15" ht="27.75" customHeight="1" x14ac:dyDescent="0.35">
      <c r="A202" s="387" t="s">
        <v>822</v>
      </c>
      <c r="B202" s="384" t="s">
        <v>823</v>
      </c>
      <c r="C202" s="388" t="s">
        <v>824</v>
      </c>
      <c r="D202" s="389">
        <v>3700000</v>
      </c>
      <c r="E202" s="390">
        <v>46246</v>
      </c>
      <c r="F202" s="390">
        <v>46367</v>
      </c>
      <c r="G202" s="391" t="s">
        <v>20</v>
      </c>
      <c r="H202" s="391" t="s">
        <v>36</v>
      </c>
      <c r="I202" s="391" t="s">
        <v>825</v>
      </c>
      <c r="J202" s="383" t="s">
        <v>23</v>
      </c>
      <c r="K202" s="392" t="s">
        <v>24</v>
      </c>
      <c r="L202" s="392" t="s">
        <v>25</v>
      </c>
      <c r="M202" s="393" t="s">
        <v>26</v>
      </c>
      <c r="N202" s="382" t="s">
        <v>826</v>
      </c>
      <c r="O202" s="391">
        <v>2170711</v>
      </c>
    </row>
    <row r="203" spans="1:15" ht="27.75" customHeight="1" x14ac:dyDescent="0.35">
      <c r="A203" s="387" t="s">
        <v>514</v>
      </c>
      <c r="B203" s="384" t="s">
        <v>827</v>
      </c>
      <c r="C203" s="388" t="s">
        <v>828</v>
      </c>
      <c r="D203" s="389">
        <v>4250000</v>
      </c>
      <c r="E203" s="390">
        <v>46245</v>
      </c>
      <c r="F203" s="390">
        <v>46366</v>
      </c>
      <c r="G203" s="391" t="s">
        <v>20</v>
      </c>
      <c r="H203" s="391" t="s">
        <v>21</v>
      </c>
      <c r="I203" s="391" t="s">
        <v>22</v>
      </c>
      <c r="J203" s="383" t="s">
        <v>23</v>
      </c>
      <c r="K203" s="392" t="s">
        <v>24</v>
      </c>
      <c r="L203" s="392" t="s">
        <v>25</v>
      </c>
      <c r="M203" s="393" t="s">
        <v>26</v>
      </c>
      <c r="N203" s="392" t="s">
        <v>517</v>
      </c>
      <c r="O203" s="391">
        <v>2170711</v>
      </c>
    </row>
    <row r="204" spans="1:15" ht="27.75" customHeight="1" x14ac:dyDescent="0.35">
      <c r="A204" s="387" t="s">
        <v>483</v>
      </c>
      <c r="B204" s="384" t="s">
        <v>829</v>
      </c>
      <c r="C204" s="388" t="s">
        <v>830</v>
      </c>
      <c r="D204" s="389">
        <v>4675000</v>
      </c>
      <c r="E204" s="390">
        <v>46245</v>
      </c>
      <c r="F204" s="390">
        <v>46366</v>
      </c>
      <c r="G204" s="391" t="s">
        <v>20</v>
      </c>
      <c r="H204" s="391" t="s">
        <v>36</v>
      </c>
      <c r="I204" s="391" t="s">
        <v>486</v>
      </c>
      <c r="J204" s="383" t="s">
        <v>23</v>
      </c>
      <c r="K204" s="392" t="s">
        <v>24</v>
      </c>
      <c r="L204" s="392" t="s">
        <v>25</v>
      </c>
      <c r="M204" s="393" t="s">
        <v>26</v>
      </c>
      <c r="N204" s="392" t="s">
        <v>487</v>
      </c>
      <c r="O204" s="391">
        <v>2170711</v>
      </c>
    </row>
    <row r="205" spans="1:15" ht="27.75" customHeight="1" x14ac:dyDescent="0.35">
      <c r="A205" s="387" t="s">
        <v>831</v>
      </c>
      <c r="B205" s="384" t="s">
        <v>832</v>
      </c>
      <c r="C205" s="388" t="s">
        <v>833</v>
      </c>
      <c r="D205" s="389">
        <v>6000000</v>
      </c>
      <c r="E205" s="390">
        <v>46252</v>
      </c>
      <c r="F205" s="390">
        <v>46373</v>
      </c>
      <c r="G205" s="391" t="s">
        <v>20</v>
      </c>
      <c r="H205" s="391" t="s">
        <v>36</v>
      </c>
      <c r="I205" s="391" t="s">
        <v>119</v>
      </c>
      <c r="J205" s="383" t="s">
        <v>23</v>
      </c>
      <c r="K205" s="392" t="s">
        <v>227</v>
      </c>
      <c r="L205" s="392" t="s">
        <v>834</v>
      </c>
      <c r="M205" s="393" t="s">
        <v>82</v>
      </c>
      <c r="N205" s="382" t="s">
        <v>835</v>
      </c>
      <c r="O205" s="391">
        <v>2170711</v>
      </c>
    </row>
    <row r="206" spans="1:15" ht="27.75" customHeight="1" x14ac:dyDescent="0.35">
      <c r="A206" s="387" t="s">
        <v>667</v>
      </c>
      <c r="B206" s="384" t="s">
        <v>836</v>
      </c>
      <c r="C206" s="388" t="s">
        <v>837</v>
      </c>
      <c r="D206" s="389">
        <v>3000000</v>
      </c>
      <c r="E206" s="390">
        <v>46253</v>
      </c>
      <c r="F206" s="390">
        <v>46374</v>
      </c>
      <c r="G206" s="391" t="s">
        <v>20</v>
      </c>
      <c r="H206" s="391" t="s">
        <v>36</v>
      </c>
      <c r="I206" s="391" t="s">
        <v>825</v>
      </c>
      <c r="J206" s="383" t="s">
        <v>23</v>
      </c>
      <c r="K206" s="392" t="s">
        <v>63</v>
      </c>
      <c r="L206" s="392" t="s">
        <v>320</v>
      </c>
      <c r="M206" s="393" t="s">
        <v>26</v>
      </c>
      <c r="N206" s="392" t="s">
        <v>670</v>
      </c>
      <c r="O206" s="391">
        <v>2170711</v>
      </c>
    </row>
    <row r="207" spans="1:15" ht="27.75" customHeight="1" x14ac:dyDescent="0.35">
      <c r="A207" s="387" t="s">
        <v>838</v>
      </c>
      <c r="B207" s="384" t="s">
        <v>839</v>
      </c>
      <c r="C207" s="388" t="s">
        <v>840</v>
      </c>
      <c r="D207" s="389">
        <v>5800000</v>
      </c>
      <c r="E207" s="390">
        <v>46255</v>
      </c>
      <c r="F207" s="390">
        <v>46376</v>
      </c>
      <c r="G207" s="391" t="s">
        <v>20</v>
      </c>
      <c r="H207" s="391" t="s">
        <v>36</v>
      </c>
      <c r="I207" s="391" t="s">
        <v>106</v>
      </c>
      <c r="J207" s="383" t="s">
        <v>23</v>
      </c>
      <c r="K207" s="392" t="s">
        <v>24</v>
      </c>
      <c r="L207" s="392" t="s">
        <v>25</v>
      </c>
      <c r="M207" s="393" t="s">
        <v>26</v>
      </c>
      <c r="N207" s="382" t="s">
        <v>841</v>
      </c>
      <c r="O207" s="391">
        <v>2170711</v>
      </c>
    </row>
    <row r="208" spans="1:15" ht="27.75" customHeight="1" x14ac:dyDescent="0.35">
      <c r="A208" s="387" t="s">
        <v>172</v>
      </c>
      <c r="B208" s="384" t="s">
        <v>842</v>
      </c>
      <c r="C208" s="388" t="s">
        <v>843</v>
      </c>
      <c r="D208" s="389">
        <v>2889999.8823529412</v>
      </c>
      <c r="E208" s="390">
        <v>46253</v>
      </c>
      <c r="F208" s="390">
        <v>46338</v>
      </c>
      <c r="G208" s="391" t="s">
        <v>20</v>
      </c>
      <c r="H208" s="391" t="s">
        <v>141</v>
      </c>
      <c r="I208" s="391" t="s">
        <v>69</v>
      </c>
      <c r="J208" s="383" t="s">
        <v>23</v>
      </c>
      <c r="K208" s="392" t="s">
        <v>24</v>
      </c>
      <c r="L208" s="392" t="s">
        <v>175</v>
      </c>
      <c r="M208" s="393" t="s">
        <v>144</v>
      </c>
      <c r="N208" s="392" t="s">
        <v>176</v>
      </c>
      <c r="O208" s="391">
        <v>2170711</v>
      </c>
    </row>
    <row r="209" spans="1:15" ht="27.75" customHeight="1" x14ac:dyDescent="0.35">
      <c r="A209" s="387" t="s">
        <v>138</v>
      </c>
      <c r="B209" s="384" t="s">
        <v>844</v>
      </c>
      <c r="C209" s="388" t="s">
        <v>845</v>
      </c>
      <c r="D209" s="389">
        <v>3199999.7647058824</v>
      </c>
      <c r="E209" s="390">
        <v>46253</v>
      </c>
      <c r="F209" s="390">
        <v>46338</v>
      </c>
      <c r="G209" s="391" t="s">
        <v>20</v>
      </c>
      <c r="H209" s="391" t="s">
        <v>141</v>
      </c>
      <c r="I209" s="391" t="s">
        <v>69</v>
      </c>
      <c r="J209" s="383" t="s">
        <v>23</v>
      </c>
      <c r="K209" s="392" t="s">
        <v>142</v>
      </c>
      <c r="L209" s="392" t="s">
        <v>143</v>
      </c>
      <c r="M209" s="393" t="s">
        <v>144</v>
      </c>
      <c r="N209" s="392" t="s">
        <v>145</v>
      </c>
      <c r="O209" s="391">
        <v>2170711</v>
      </c>
    </row>
    <row r="210" spans="1:15" ht="27.75" customHeight="1" x14ac:dyDescent="0.35">
      <c r="A210" s="387" t="s">
        <v>846</v>
      </c>
      <c r="B210" s="384" t="s">
        <v>847</v>
      </c>
      <c r="C210" s="388" t="s">
        <v>56</v>
      </c>
      <c r="D210" s="389">
        <v>3000000</v>
      </c>
      <c r="E210" s="390">
        <v>46254</v>
      </c>
      <c r="F210" s="390">
        <v>46359</v>
      </c>
      <c r="G210" s="391" t="s">
        <v>20</v>
      </c>
      <c r="H210" s="391" t="s">
        <v>848</v>
      </c>
      <c r="I210" s="391" t="s">
        <v>57</v>
      </c>
      <c r="J210" s="383" t="s">
        <v>23</v>
      </c>
      <c r="K210" s="392" t="s">
        <v>24</v>
      </c>
      <c r="L210" s="392" t="s">
        <v>25</v>
      </c>
      <c r="M210" s="393" t="s">
        <v>46</v>
      </c>
      <c r="N210" s="382" t="s">
        <v>849</v>
      </c>
      <c r="O210" s="391">
        <v>2170711</v>
      </c>
    </row>
    <row r="211" spans="1:15" ht="27.75" customHeight="1" x14ac:dyDescent="0.35">
      <c r="A211" s="387" t="s">
        <v>850</v>
      </c>
      <c r="B211" s="384" t="s">
        <v>851</v>
      </c>
      <c r="C211" s="388" t="s">
        <v>852</v>
      </c>
      <c r="D211" s="389">
        <v>4000000</v>
      </c>
      <c r="E211" s="390">
        <v>46254</v>
      </c>
      <c r="F211" s="390">
        <v>46253</v>
      </c>
      <c r="G211" s="391" t="s">
        <v>20</v>
      </c>
      <c r="H211" s="391" t="s">
        <v>36</v>
      </c>
      <c r="I211" s="391" t="s">
        <v>170</v>
      </c>
      <c r="J211" s="383" t="s">
        <v>23</v>
      </c>
      <c r="K211" s="392" t="s">
        <v>24</v>
      </c>
      <c r="L211" s="392" t="s">
        <v>25</v>
      </c>
      <c r="M211" s="393" t="s">
        <v>229</v>
      </c>
      <c r="N211" s="382" t="s">
        <v>853</v>
      </c>
      <c r="O211" s="391">
        <v>2170711</v>
      </c>
    </row>
    <row r="212" spans="1:15" ht="27.75" customHeight="1" x14ac:dyDescent="0.35">
      <c r="A212" s="387" t="s">
        <v>854</v>
      </c>
      <c r="B212" s="384" t="s">
        <v>855</v>
      </c>
      <c r="C212" s="388" t="s">
        <v>856</v>
      </c>
      <c r="D212" s="389">
        <v>6500000</v>
      </c>
      <c r="E212" s="390">
        <v>46258</v>
      </c>
      <c r="F212" s="390">
        <v>46379</v>
      </c>
      <c r="G212" s="391" t="s">
        <v>20</v>
      </c>
      <c r="H212" s="391" t="s">
        <v>36</v>
      </c>
      <c r="I212" s="391" t="s">
        <v>37</v>
      </c>
      <c r="J212" s="383" t="s">
        <v>23</v>
      </c>
      <c r="K212" s="392" t="s">
        <v>24</v>
      </c>
      <c r="L212" s="392" t="s">
        <v>25</v>
      </c>
      <c r="M212" s="393" t="s">
        <v>26</v>
      </c>
      <c r="N212" s="382" t="s">
        <v>857</v>
      </c>
      <c r="O212" s="391">
        <v>2170711</v>
      </c>
    </row>
    <row r="213" spans="1:15" ht="27.75" customHeight="1" x14ac:dyDescent="0.35">
      <c r="A213" s="387" t="s">
        <v>858</v>
      </c>
      <c r="B213" s="384" t="s">
        <v>859</v>
      </c>
      <c r="C213" s="388" t="s">
        <v>860</v>
      </c>
      <c r="D213" s="389">
        <v>3300000</v>
      </c>
      <c r="E213" s="390">
        <v>46262</v>
      </c>
      <c r="F213" s="390">
        <v>46383</v>
      </c>
      <c r="G213" s="391" t="s">
        <v>20</v>
      </c>
      <c r="H213" s="391" t="s">
        <v>21</v>
      </c>
      <c r="I213" s="391" t="s">
        <v>57</v>
      </c>
      <c r="J213" s="383" t="s">
        <v>23</v>
      </c>
      <c r="K213" s="392" t="s">
        <v>24</v>
      </c>
      <c r="L213" s="392" t="s">
        <v>25</v>
      </c>
      <c r="M213" s="393" t="s">
        <v>82</v>
      </c>
      <c r="N213" s="382" t="s">
        <v>861</v>
      </c>
      <c r="O213" s="391">
        <v>2170711</v>
      </c>
    </row>
    <row r="214" spans="1:15" ht="27.75" customHeight="1" x14ac:dyDescent="0.35">
      <c r="A214" s="387" t="s">
        <v>48</v>
      </c>
      <c r="B214" s="384" t="s">
        <v>862</v>
      </c>
      <c r="C214" s="388" t="s">
        <v>863</v>
      </c>
      <c r="D214" s="389">
        <v>6000000</v>
      </c>
      <c r="E214" s="390">
        <v>46261</v>
      </c>
      <c r="F214" s="390">
        <v>46336</v>
      </c>
      <c r="G214" s="391" t="s">
        <v>20</v>
      </c>
      <c r="H214" s="391" t="s">
        <v>36</v>
      </c>
      <c r="I214" s="391" t="s">
        <v>37</v>
      </c>
      <c r="J214" s="383" t="s">
        <v>23</v>
      </c>
      <c r="K214" s="392" t="s">
        <v>51</v>
      </c>
      <c r="L214" s="392" t="s">
        <v>52</v>
      </c>
      <c r="M214" s="393" t="s">
        <v>46</v>
      </c>
      <c r="N214" s="392" t="s">
        <v>53</v>
      </c>
      <c r="O214" s="391">
        <v>2170711</v>
      </c>
    </row>
    <row r="215" spans="1:15" ht="27.75" customHeight="1" x14ac:dyDescent="0.35">
      <c r="A215" s="387" t="s">
        <v>864</v>
      </c>
      <c r="B215" s="384" t="s">
        <v>865</v>
      </c>
      <c r="C215" s="388" t="s">
        <v>866</v>
      </c>
      <c r="D215" s="389">
        <v>4000000</v>
      </c>
      <c r="E215" s="390">
        <v>46262</v>
      </c>
      <c r="F215" s="390">
        <v>46383</v>
      </c>
      <c r="G215" s="391" t="s">
        <v>20</v>
      </c>
      <c r="H215" s="391" t="s">
        <v>36</v>
      </c>
      <c r="I215" s="391" t="s">
        <v>170</v>
      </c>
      <c r="J215" s="383" t="s">
        <v>23</v>
      </c>
      <c r="K215" s="392" t="s">
        <v>24</v>
      </c>
      <c r="L215" s="392" t="s">
        <v>25</v>
      </c>
      <c r="M215" s="393" t="s">
        <v>26</v>
      </c>
      <c r="N215" s="392" t="s">
        <v>563</v>
      </c>
      <c r="O215" s="391">
        <v>2170711</v>
      </c>
    </row>
    <row r="216" spans="1:15" ht="27.75" customHeight="1" x14ac:dyDescent="0.35">
      <c r="A216" s="387" t="s">
        <v>867</v>
      </c>
      <c r="B216" s="384" t="s">
        <v>868</v>
      </c>
      <c r="C216" s="388" t="s">
        <v>869</v>
      </c>
      <c r="D216" s="389">
        <v>6000000</v>
      </c>
      <c r="E216" s="390">
        <v>46261</v>
      </c>
      <c r="F216" s="390">
        <v>46382</v>
      </c>
      <c r="G216" s="391" t="s">
        <v>20</v>
      </c>
      <c r="H216" s="391" t="s">
        <v>36</v>
      </c>
      <c r="I216" s="391" t="s">
        <v>37</v>
      </c>
      <c r="J216" s="383" t="s">
        <v>23</v>
      </c>
      <c r="K216" s="392" t="s">
        <v>24</v>
      </c>
      <c r="L216" s="392" t="s">
        <v>25</v>
      </c>
      <c r="M216" s="393" t="s">
        <v>144</v>
      </c>
      <c r="N216" s="382" t="s">
        <v>870</v>
      </c>
      <c r="O216" s="391">
        <v>2170711</v>
      </c>
    </row>
    <row r="217" spans="1:15" ht="27.75" customHeight="1" x14ac:dyDescent="0.35">
      <c r="A217" s="387" t="s">
        <v>871</v>
      </c>
      <c r="B217" s="384" t="s">
        <v>872</v>
      </c>
      <c r="C217" s="388" t="s">
        <v>765</v>
      </c>
      <c r="D217" s="389">
        <v>6180000</v>
      </c>
      <c r="E217" s="390">
        <v>46262</v>
      </c>
      <c r="F217" s="390">
        <v>46383</v>
      </c>
      <c r="G217" s="391" t="s">
        <v>20</v>
      </c>
      <c r="H217" s="391" t="s">
        <v>36</v>
      </c>
      <c r="I217" s="391" t="s">
        <v>37</v>
      </c>
      <c r="J217" s="383" t="s">
        <v>23</v>
      </c>
      <c r="K217" s="392" t="s">
        <v>24</v>
      </c>
      <c r="L217" s="392" t="s">
        <v>25</v>
      </c>
      <c r="M217" s="393" t="s">
        <v>82</v>
      </c>
      <c r="N217" s="382" t="s">
        <v>873</v>
      </c>
      <c r="O217" s="391">
        <v>2170711</v>
      </c>
    </row>
    <row r="218" spans="1:15" ht="27.75" customHeight="1" x14ac:dyDescent="0.35">
      <c r="A218" s="387" t="s">
        <v>874</v>
      </c>
      <c r="B218" s="384" t="s">
        <v>875</v>
      </c>
      <c r="C218" s="388" t="s">
        <v>876</v>
      </c>
      <c r="D218" s="389">
        <v>6000000</v>
      </c>
      <c r="E218" s="390">
        <v>46261</v>
      </c>
      <c r="F218" s="390">
        <v>46346</v>
      </c>
      <c r="G218" s="391" t="s">
        <v>20</v>
      </c>
      <c r="H218" s="391" t="s">
        <v>36</v>
      </c>
      <c r="I218" s="391" t="s">
        <v>37</v>
      </c>
      <c r="J218" s="383" t="s">
        <v>23</v>
      </c>
      <c r="K218" s="392" t="s">
        <v>24</v>
      </c>
      <c r="L218" s="392" t="s">
        <v>25</v>
      </c>
      <c r="M218" s="393" t="s">
        <v>144</v>
      </c>
      <c r="N218" s="392" t="s">
        <v>411</v>
      </c>
      <c r="O218" s="391">
        <v>2170711</v>
      </c>
    </row>
    <row r="219" spans="1:15" ht="27.75" customHeight="1" x14ac:dyDescent="0.35">
      <c r="A219" s="387" t="s">
        <v>43</v>
      </c>
      <c r="B219" s="386" t="s">
        <v>877</v>
      </c>
      <c r="C219" s="388" t="s">
        <v>878</v>
      </c>
      <c r="D219" s="389">
        <v>6000000</v>
      </c>
      <c r="E219" s="390">
        <v>46262</v>
      </c>
      <c r="F219" s="390">
        <v>46368</v>
      </c>
      <c r="G219" s="391" t="s">
        <v>20</v>
      </c>
      <c r="H219" s="391" t="s">
        <v>36</v>
      </c>
      <c r="I219" s="391" t="s">
        <v>37</v>
      </c>
      <c r="J219" s="383" t="s">
        <v>23</v>
      </c>
      <c r="K219" s="392" t="s">
        <v>24</v>
      </c>
      <c r="L219" s="392" t="s">
        <v>25</v>
      </c>
      <c r="M219" s="393" t="s">
        <v>46</v>
      </c>
      <c r="N219" s="392" t="s">
        <v>47</v>
      </c>
      <c r="O219" s="391">
        <v>2170711</v>
      </c>
    </row>
  </sheetData>
  <mergeCells count="3">
    <mergeCell ref="A1:A3"/>
    <mergeCell ref="B1:P3"/>
    <mergeCell ref="A4:P4"/>
  </mergeCells>
  <conditionalFormatting sqref="M6:M219">
    <cfRule type="containsBlanks" dxfId="0" priority="1">
      <formula>LEN(TRIM(M6))=0</formula>
    </cfRule>
  </conditionalFormatting>
  <hyperlinks>
    <hyperlink ref="N6" r:id="rId1" display="mailto:florena.duenas@idt.gov.co" xr:uid="{31668CF8-F865-4560-882B-14390FAD68A1}"/>
    <hyperlink ref="N7" r:id="rId2" display="mailto:christian.suarez@idt.gov.co" xr:uid="{241106A8-0D2E-4A1F-8A21-AF9D9C7A19B8}"/>
    <hyperlink ref="N8" r:id="rId3" display="mailto:yeisson.joya@idt.gov.co" xr:uid="{2E9833E7-84E3-4D7D-B56D-9716F42449A7}"/>
    <hyperlink ref="N9" r:id="rId4" display="mailto:ingrid.jimenez@idt.gov.co" xr:uid="{053F298D-4EE3-44CA-B4CA-F6CCFB3D12B9}"/>
    <hyperlink ref="N11" r:id="rId5" display="mailto:maria.suarez@idt.gov.co" xr:uid="{56D8BDAA-308C-45A4-825D-36A8506F5A6B}"/>
    <hyperlink ref="N12" r:id="rId6" display="mailto:maria.gamboa@idt.gov.co" xr:uid="{DDFCABE7-1B24-414E-857F-2367DCB7E722}"/>
    <hyperlink ref="N13" r:id="rId7" display="mailto:jessica.vargas@idt.gov.co" xr:uid="{8D102BD5-EE04-425F-88AD-84F9A7B67DDF}"/>
    <hyperlink ref="N14" r:id="rId8" display="mailto:marcos.rodriguez@idt.gov.co" xr:uid="{E6300CF6-DFB5-4421-B8CC-F89B77B7568E}"/>
    <hyperlink ref="N15" r:id="rId9" display="mailto:monica.rico@idt.gov.co" xr:uid="{5EE09134-1071-4093-862B-C3C87792C15D}"/>
    <hyperlink ref="N16" r:id="rId10" display="mailto:daniela.garces@idt.gov.co" xr:uid="{441E17F2-52FC-422F-905D-8FABDF6F56C2}"/>
    <hyperlink ref="N17" r:id="rId11" display="mailto:angela.pantoja@idt.gov.co" xr:uid="{7027ADE9-D336-4790-9BDA-BD64D29D3430}"/>
    <hyperlink ref="N18" r:id="rId12" display="mailto:jimena.herrera@idt.gov.co" xr:uid="{564102E2-2C3C-4616-991C-3972E6D47067}"/>
    <hyperlink ref="N19" r:id="rId13" display="mailto:natalia.saenz@idt.gov.co" xr:uid="{DBB9DD49-BC8D-4823-940C-213E551CDB2A}"/>
    <hyperlink ref="N20" r:id="rId14" display="mailto:felipe.garzon@idt.gov.co" xr:uid="{30FAFCED-35FC-4A49-9DD6-D8FAB82F2D81}"/>
    <hyperlink ref="N21" r:id="rId15" display="mailto:diana.ruiz@idt.gov.co" xr:uid="{E2684171-8155-4CDA-8EFF-2478844064E2}"/>
    <hyperlink ref="N22" r:id="rId16" display="mailto:paula.medellin@idt.gov.co" xr:uid="{B39EB621-160A-46AD-82D7-65EBBBC2837A}"/>
    <hyperlink ref="N23" r:id="rId17" display="mailto:sandra.cobos@idt.gov.co" xr:uid="{6CC80867-ECE1-4382-9F6B-907F06A0AC5B}"/>
    <hyperlink ref="N24" r:id="rId18" display="mailto:santiago.martinez@idt.gov.co" xr:uid="{9FDA310A-CE79-422A-9594-7543D498B951}"/>
    <hyperlink ref="N25" r:id="rId19" display="mailto:rocio.rozo@idt.gov.co" xr:uid="{4141C6FE-4918-41C0-A4ED-4E4747F78A08}"/>
    <hyperlink ref="N26" r:id="rId20" display="mailto:mariluz.gomez@idt.gov.co" xr:uid="{185FE386-ED82-444F-A6FB-C079DD31AAB8}"/>
    <hyperlink ref="N27" r:id="rId21" display="mailto:debbie.angulo@idt.gov.co" xr:uid="{C48435F7-BBCB-48BD-B251-82751DB73E61}"/>
    <hyperlink ref="N28" r:id="rId22" display="mailto:liliana.roa@idt.gov.co" xr:uid="{3497BD42-6A6D-4BA0-B50E-F56390BE9562}"/>
    <hyperlink ref="N29" r:id="rId23" display="mailto:angela.espinosa@idt.gov.co" xr:uid="{B86391C1-DFB1-47C4-833A-9EEBA0F1A696}"/>
    <hyperlink ref="N30" r:id="rId24" display="mailto:sebastian.ruano@idt.gov.co" xr:uid="{C4260AAA-5377-4D8D-BBB1-F31749732588}"/>
    <hyperlink ref="N31" r:id="rId25" display="mailto:santiago.rincon@idt.gov.co" xr:uid="{06382AA0-DF1F-433B-81EE-B47626894213}"/>
    <hyperlink ref="N32" r:id="rId26" display="mailto:lady.perez@idt.gov.co" xr:uid="{51C1C684-0E2C-4942-8398-EFE26D3C0C69}"/>
    <hyperlink ref="N33" r:id="rId27" display="mailto:cindy.castiblanco@idt.gov.co" xr:uid="{3E6C6742-548A-4AE2-808D-C9529C426CE9}"/>
    <hyperlink ref="N34" r:id="rId28" display="mailto:natalia.espitia@idt.gov.co" xr:uid="{F98ABFDB-F15A-4BED-B8BF-0F8F567EF192}"/>
    <hyperlink ref="N35" r:id="rId29" display="mailto:juan.giron@idt.gov.co" xr:uid="{06C1405D-665C-4DEB-9775-6A986903E904}"/>
    <hyperlink ref="N36" r:id="rId30" display="mailto:julian.rubiano@idt.gov.co" xr:uid="{69BDB462-F528-49F0-8A69-F62FF3392E4A}"/>
    <hyperlink ref="N37" r:id="rId31" display="mailto:andrea.beltran@idt.gov.co" xr:uid="{E28608AC-32F8-4783-980E-533E7BBD5E10}"/>
    <hyperlink ref="N38" r:id="rId32" display="mailto:tatiana.cabiativa@idt.gov.co" xr:uid="{7533504E-0D4B-47C1-AD1C-3EFD32D3BDE3}"/>
    <hyperlink ref="N39" r:id="rId33" display="mailto:juan.guzman@idt.gov.co" xr:uid="{C8134AB6-800D-4443-B963-BC55B59F01E1}"/>
    <hyperlink ref="N40" r:id="rId34" display="mailto:catherine.barbosa@idt.gov.co" xr:uid="{45E2F3C4-0785-4C95-B4C2-E9C441953C3F}"/>
    <hyperlink ref="N41" r:id="rId35" display="mailto:lina.medina@idt.gov.co" xr:uid="{692E1558-96DD-400E-8100-1BE94662176B}"/>
    <hyperlink ref="N42" r:id="rId36" display="mailto:jhon.acuna@idt.gov.co" xr:uid="{0793CD6F-559E-4CF4-97B4-6D2510D449DE}"/>
    <hyperlink ref="N43" r:id="rId37" display="mailto:cesar.barrero@idt.gov.co" xr:uid="{D4DB3D65-457B-4F11-B5EB-723C6B8FAC01}"/>
    <hyperlink ref="N44" r:id="rId38" display="mailto:briyith.reyes@idt.gov.co" xr:uid="{A5DE0A25-D75C-4EBA-9B35-3CE0D394DC43}"/>
    <hyperlink ref="N45" r:id="rId39" display="mailto:johan.ramirez@idt.gov.co" xr:uid="{48E1E93D-D488-4442-A226-157F20B7329A}"/>
    <hyperlink ref="N46" r:id="rId40" display="mailto:beatriz.perez@idt.gov.co" xr:uid="{F1BB0E53-49C2-435E-BCD6-D044E84084E0}"/>
    <hyperlink ref="N47" r:id="rId41" display="mailto:carlos.otavo@idt.gov.co" xr:uid="{93AE83A3-1C70-4FB8-8E75-BB3E54AA6D2E}"/>
    <hyperlink ref="N48" r:id="rId42" display="mailto:katherin.uribe@idt.gov.co" xr:uid="{EC9EB608-C3A4-4327-91A4-27D15A378D37}"/>
    <hyperlink ref="N49" r:id="rId43" display="mailto:natalia.millares@idt.gov.co" xr:uid="{2F3AB3F7-CE5F-4A11-8B92-745785ACBDD3}"/>
    <hyperlink ref="N50" r:id="rId44" display="mailto:karla.mengual@idt.gov.co" xr:uid="{5DDD1E64-0282-4E0A-A889-705204E6EBC1}"/>
    <hyperlink ref="N51" r:id="rId45" display="mailto:cristian.calderon@idt.gov.co" xr:uid="{82AF5DCB-BDF4-4B5B-A7CE-026A8F22E0AA}"/>
    <hyperlink ref="N52" r:id="rId46" display="mailto:jessica.jimenez@idt.gov.co" xr:uid="{228AAB94-BFA7-48B7-B6B3-2DD7426C2BEC}"/>
    <hyperlink ref="N53" r:id="rId47" display="mailto:maira.meneses@idt.gov.co" xr:uid="{7DF6296E-0BF7-4AE7-9F47-CD7A80F4BEFE}"/>
    <hyperlink ref="N54" r:id="rId48" display="mailto:julio.sanabria@idt.gov.co" xr:uid="{2C6D3607-520F-4098-80AE-1756D5B44497}"/>
    <hyperlink ref="N55" r:id="rId49" display="mailto:idelber.sanchez@idt.gov.co" xr:uid="{91302AC8-E2D1-4C98-8253-65D513C3F6C5}"/>
    <hyperlink ref="N56" r:id="rId50" display="mailto:nataly.parra@idt.gov.co" xr:uid="{CDE31E3B-7854-4378-A5F1-F3460C056150}"/>
    <hyperlink ref="N57" r:id="rId51" display="mailto:sebastian.useche@idt.gov.co" xr:uid="{3056E25A-271D-4EB3-AF58-462D8A70B185}"/>
    <hyperlink ref="N58" r:id="rId52" display="mailto:catherine.sanchez@idt.gov.co" xr:uid="{E1B45307-DDC3-4F8C-A59F-3D55A2DC44DF}"/>
    <hyperlink ref="N59" r:id="rId53" display="mailto:laura.sanclemente@idt.gov.co" xr:uid="{0336A998-FB03-4BFA-8B87-DD61EC323C9B}"/>
    <hyperlink ref="N60" r:id="rId54" display="mailto:mateo.caballero@idt.gov.co" xr:uid="{D2A6A18B-2D2B-4FE8-8680-25D24D39A251}"/>
    <hyperlink ref="N61" r:id="rId55" display="mailto:kevin.molano@idt.gov.co" xr:uid="{C2A25505-D9AD-4F91-A7A2-6A037DFC5B6D}"/>
    <hyperlink ref="N62" r:id="rId56" display="mailto:carol.barragan@idt.gov.co" xr:uid="{2FAA1F9E-7897-473F-BDD5-33AA7BBBD232}"/>
    <hyperlink ref="N63" r:id="rId57" display="mailto:yenny.mendoza@idt.gov.co" xr:uid="{7C5F1DC1-86B7-4B4E-B9F1-1B47A88BBFED}"/>
    <hyperlink ref="N64" r:id="rId58" display="mailto:selene.agudelo@idt.gov.co" xr:uid="{56176388-3D72-410B-A444-F299D7156ECC}"/>
    <hyperlink ref="N67" r:id="rId59" display="mailto:ana.montoya@idt.gov.co" xr:uid="{F5CB8E40-3374-48CA-ADC3-237B93A390F8}"/>
    <hyperlink ref="N68" r:id="rId60" display="mailto:ivan.escobar@idt.gov.co" xr:uid="{0BB4B102-C310-4206-8E00-F10B1B2A52F1}"/>
    <hyperlink ref="N69" r:id="rId61" display="mailto:elizabeth.arevalo@idt.gov.co" xr:uid="{5F6C6ABB-73C2-430B-87FE-8E0FC8BE4096}"/>
    <hyperlink ref="N70" r:id="rId62" display="mailto:daniel.mantilla@idt.gov.co" xr:uid="{C05DD0A8-08E6-417D-9FD2-3C5CA901BEBE}"/>
    <hyperlink ref="N71" r:id="rId63" display="mailto:juan.estupinan@idt.gov.co" xr:uid="{30E52164-8663-4C28-B07A-26345D42C627}"/>
    <hyperlink ref="N72" r:id="rId64" display="mailto:faccello.argel@idt.gov.co" xr:uid="{0CB24FD4-E1A7-47BA-9842-0D0A65A87C9F}"/>
    <hyperlink ref="N73" r:id="rId65" display="mailto:katherine.junca@idt.gov.co" xr:uid="{F899159A-9C03-4940-8990-B6733CF1B9EC}"/>
    <hyperlink ref="N74" r:id="rId66" display="mailto:tanny.alvarez@idt.gov.co" xr:uid="{E720813A-54BE-43B4-9480-6BD64B533F45}"/>
    <hyperlink ref="N75" r:id="rId67" display="mailto:diego.rodriguez@idt.gov.co" xr:uid="{BE14C64B-0AB5-400C-8534-2D06F3FCF493}"/>
    <hyperlink ref="N76" r:id="rId68" display="mailto:juan.cabuya@idt.gov.co" xr:uid="{0F6BA371-D90D-4866-87DC-1318728A6ECD}"/>
    <hyperlink ref="N77" r:id="rId69" display="mailto:paola.suarez@idt.gov.co" xr:uid="{75216E6E-FE6C-477D-80D0-4E3D1E69654B}"/>
    <hyperlink ref="N78" r:id="rId70" display="mailto:alexandra.torres@idt.gov.co" xr:uid="{D164904E-BB41-4C3D-9B1F-E8FEED74E3F8}"/>
    <hyperlink ref="N80" r:id="rId71" display="mailto:stalyn.guerrero@idt.gov.co" xr:uid="{E90B50A7-2B13-4EDE-A531-015F860CC423}"/>
    <hyperlink ref="N81" r:id="rId72" display="mailto:valeria.muneton@idt.gov.co" xr:uid="{09203E69-4643-4FE8-80E1-48A9A9B82E19}"/>
    <hyperlink ref="N82" r:id="rId73" display="mailto:julieth.rodriguez@idt.gov.co" xr:uid="{1BFEAF8D-E51F-4C1C-898D-190A0D59EB28}"/>
    <hyperlink ref="N83" r:id="rId74" display="mailto:alejandra.sastoque@idt.gov.co" xr:uid="{728B893D-69F8-45FC-90B7-8C59475C8FC3}"/>
    <hyperlink ref="N84" r:id="rId75" display="mailto:maria.rivera@idt.gov.co" xr:uid="{382099CB-2846-4FCC-AB68-2239404D0870}"/>
    <hyperlink ref="N86" r:id="rId76" display="mailto:erika.renteria@idt.gov.co" xr:uid="{A897F2B9-2797-473B-A6E7-EC24C87C5AE9}"/>
    <hyperlink ref="N87" r:id="rId77" display="mailto:maria.gualdron@idt.gov.co" xr:uid="{2461F443-31D3-4182-92EE-969261F184E2}"/>
    <hyperlink ref="N88" r:id="rId78" display="mailto:diana.moreno@idt.gov.co" xr:uid="{2A36969B-514A-47E0-BE78-7C0DB63DCF99}"/>
    <hyperlink ref="N89" r:id="rId79" display="mailto:juanc.moreno@idt.gov.co" xr:uid="{34A28422-8C21-4FF8-A0D3-EDE0567F2907}"/>
    <hyperlink ref="N90" r:id="rId80" display="mailto:juan.rubio@idt.gov.co" xr:uid="{1210DB20-9BF4-4E02-AE8D-3FE0A8BC1198}"/>
    <hyperlink ref="N91" r:id="rId81" display="mailto:laura.rojas@idt.gov.co" xr:uid="{1C9AC781-83E8-4DA3-9000-5F1E13B1F479}"/>
    <hyperlink ref="N93" r:id="rId82" display="mailto:alizon.pinilla@idt.gov.co" xr:uid="{AC909ADA-0B6B-46DE-8F05-599BDCD9477A}"/>
    <hyperlink ref="N94" r:id="rId83" display="mailto:anderson.huerfano@idt.gov.co" xr:uid="{A507113C-7321-4FD7-A95C-A74DC42EF586}"/>
    <hyperlink ref="N95" r:id="rId84" display="mailto:nydia.gutierrez@idt.gov.co" xr:uid="{C7BCE55F-9846-477B-A95F-796E15314143}"/>
    <hyperlink ref="N96" r:id="rId85" display="mailto:carolina.olarte@idt.gov.co" xr:uid="{96DAEA78-9E16-4EC2-B7BD-AD113A27A509}"/>
    <hyperlink ref="N97" r:id="rId86" display="mailto:yuly.garcia@idt.gov.co" xr:uid="{63320271-9716-41CF-89D3-52D993A89FEF}"/>
    <hyperlink ref="N98" r:id="rId87" display="mailto:johana.rubiano@idt.gov.co" xr:uid="{A4E6D2E3-2A8D-4C91-8EDD-B8E5C249FFA1}"/>
    <hyperlink ref="N99" r:id="rId88" display="mailto:johnny.osma@idt.gov.co" xr:uid="{725108BB-5942-4048-A5F5-0AE3E75B541B}"/>
    <hyperlink ref="N100" r:id="rId89" display="mailto:angela.rueda@idt.gov.co" xr:uid="{C84AE0B4-1D36-4BE7-9031-FE76605C8032}"/>
    <hyperlink ref="N101" r:id="rId90" display="mailto:octavio.cruz@idt.gov.co" xr:uid="{0C955CB9-62D3-4436-B0B0-DB31D60971F7}"/>
    <hyperlink ref="N102" r:id="rId91" display="mailto:monica.suarez@idt.gov.co" xr:uid="{1DD54F90-5F15-4B92-94F6-D4CE1D4E4423}"/>
    <hyperlink ref="N103" r:id="rId92" display="mailto:carlos.guzman@idt.gov.co" xr:uid="{C2F197B4-FDD8-4D35-8CD9-58735C372F9A}"/>
    <hyperlink ref="N104" r:id="rId93" display="mailto:maria.garcia@idt.gov.co" xr:uid="{C04E4008-6255-4A30-98DA-B1DCA0809CD9}"/>
    <hyperlink ref="N105" r:id="rId94" display="mailto:javier.hernandez@idt.gov.co" xr:uid="{5CEB21D8-AC53-4C5E-8FD2-34683CC6C6B2}"/>
    <hyperlink ref="N106" r:id="rId95" display="mailto:lina.rodriguez@idt.gov.co" xr:uid="{4C5D0AF2-7981-41A4-8D96-02800ECA89EB}"/>
    <hyperlink ref="N107" r:id="rId96" display="mailto:laura.chaves@idt.gov.co" xr:uid="{81BEDFC1-4843-4726-AB5A-43A9B1BB8650}"/>
    <hyperlink ref="N108" r:id="rId97" display="mailto:erika.restrepo@idt.gov.co" xr:uid="{C9840EB5-C232-41EC-84DB-FAE202449456}"/>
    <hyperlink ref="N109" r:id="rId98" display="mailto:andres.oviedo@idt.gov.co" xr:uid="{A280A963-8523-4FC7-B519-9980AFD30484}"/>
    <hyperlink ref="N110" r:id="rId99" display="mailto:gustavo.munoz@idt.gov.co" xr:uid="{6792C18F-95ED-4A8F-BA27-14B134927484}"/>
    <hyperlink ref="N111" r:id="rId100" display="mailto:nestor.goyes@idt.gov.co" xr:uid="{179FB7D0-643D-47F8-A9D2-95771639B3A8}"/>
    <hyperlink ref="N112" r:id="rId101" display="mailto:carlos.viancha@idt.gov.co" xr:uid="{71AD1656-45BE-4874-8B0A-3FBAF77DCFC5}"/>
    <hyperlink ref="N113" r:id="rId102" display="mailto:julian.delgado@idt.gov.co" xr:uid="{A92EC009-97C7-4553-BB63-77EF43BC383E}"/>
    <hyperlink ref="N114" r:id="rId103" display="mailto:andres.vergara@idt.gov.co" xr:uid="{6B189849-8138-47C6-92DE-31BF387A96DE}"/>
    <hyperlink ref="N115" r:id="rId104" display="mailto:victoria.mora@idt.gov.co" xr:uid="{E0DD070F-DB00-45CB-B383-B9D5B06149AA}"/>
    <hyperlink ref="N116" r:id="rId105" display="mailto:johann.pachon@idt.gov.co" xr:uid="{16CBFD3D-E1DF-482A-9534-50C7F1E334C5}"/>
    <hyperlink ref="N117" r:id="rId106" display="mailto:alexander.villalobos@idt.gov.co" xr:uid="{3C8880F3-2512-4B22-85C4-B58527AF8878}"/>
    <hyperlink ref="N118" r:id="rId107" display="mailto:nayibe.rodriguez@idt.gov.co" xr:uid="{743FFAF6-BF74-4374-AEC7-FD1F6F194A0A}"/>
    <hyperlink ref="N119" r:id="rId108" display="mailto:valeria.marti@idt.gov.co" xr:uid="{D0C37C73-6E5B-4CD1-837E-8F3237577426}"/>
    <hyperlink ref="N120" r:id="rId109" display="mailto:leonardo.nieto@idt.gov.co" xr:uid="{489F7BC3-734A-4ED0-A16E-C5CB7C2783BE}"/>
    <hyperlink ref="N121" r:id="rId110" display="mailto:maria.villamizar@idt.gov.co" xr:uid="{E902F833-54FA-4346-B99C-EDD53BA31E14}"/>
    <hyperlink ref="N122" r:id="rId111" display="mailto:valeria.diaz@idt.gov.co" xr:uid="{2E96AF55-50AF-4459-AAA3-94C951483010}"/>
    <hyperlink ref="N123" r:id="rId112" display="mailto:vivian.moreno@idt.gov.co" xr:uid="{84EEF0A3-F71C-4663-AC0F-290C88E92DFE}"/>
    <hyperlink ref="N124" r:id="rId113" display="mailto:natalia.velasquez@idt.gov.co" xr:uid="{40E457E8-70AD-4170-A15C-4ED94F24D554}"/>
    <hyperlink ref="N125" r:id="rId114" display="mailto:henry.gomez@idt.gov.co" xr:uid="{EB9547AB-CEDE-4052-BDF0-3C1ECD8FCE9A}"/>
    <hyperlink ref="N126" r:id="rId115" display="mailto:luisa.barbosa@idt.gov.co" xr:uid="{BC9C87CA-F1BC-44E6-BF0F-164B55377080}"/>
    <hyperlink ref="N127" r:id="rId116" display="mailto:katheryn.cabrera@idt.gov.co" xr:uid="{98DE77F4-97C1-46B3-A9C9-D353B5F4B7FA}"/>
    <hyperlink ref="N128" r:id="rId117" display="mailto:marco.lopez@idt.gov.co" xr:uid="{7E6F0166-0B0E-466C-8986-658D45332E0C}"/>
    <hyperlink ref="N129" r:id="rId118" display="mailto:jorge.naranjo@idt.gov.co" xr:uid="{A0AC1492-186D-4E14-8EF3-36DC73E233B7}"/>
    <hyperlink ref="N130" r:id="rId119" display="mailto:olga.forero@idt.gov.co" xr:uid="{66E2B012-E404-4F91-81AA-69E278FF2E05}"/>
    <hyperlink ref="N131" r:id="rId120" display="mailto:andrea.herrera@idt.gov.co" xr:uid="{48A21C02-6058-4077-A1A0-2C874CD89E9A}"/>
    <hyperlink ref="N132" r:id="rId121" display="mailto:carolina.pulgarin@idt.gov.co" xr:uid="{9E43B818-A5A1-45A1-B139-D24A2C42B0D3}"/>
    <hyperlink ref="N133" r:id="rId122" display="mailto:yamile.cepeda@idt.gov.co" xr:uid="{8BFDBF9F-5722-4297-9E15-E5857F8B933F}"/>
    <hyperlink ref="N134" r:id="rId123" display="mailto:diana.dimate@idt.gov.co" xr:uid="{42C8921C-268F-4B01-AE48-56ECDE756531}"/>
    <hyperlink ref="N135" r:id="rId124" display="mailto:diana.suarez@idt.gov.co" xr:uid="{F2D62AAC-66F6-42BF-B2B0-1DB8BB86BF8D}"/>
    <hyperlink ref="N136" r:id="rId125" display="mailto:karen.barrera@idt.gov.co" xr:uid="{EF76EF94-D3FF-4999-8453-5B9613E44F47}"/>
    <hyperlink ref="N137" r:id="rId126" display="mailto:natalia.alvarado@idt.gov.co" xr:uid="{1B4B1B3F-6BEB-4222-8CAB-20DA3F43480C}"/>
    <hyperlink ref="N138" r:id="rId127" display="mailto:maida.asis@idt.gov.co" xr:uid="{5E902700-FE27-4D70-944F-37C833055313}"/>
    <hyperlink ref="N139" r:id="rId128" display="mailto:lisbeth.triana@idt.gov.co" xr:uid="{74CFA855-F0DF-4FC6-9DF8-151DD9211DC9}"/>
    <hyperlink ref="N140" r:id="rId129" display="mailto:jairo.romero@idt.gov.co" xr:uid="{B6BC4638-FDA6-4128-8F5B-CB9A61726D78}"/>
    <hyperlink ref="N141" r:id="rId130" display="mailto:jhon.parada@idt.gov.co" xr:uid="{7432940B-F7EE-4496-BD53-208715DC1617}"/>
    <hyperlink ref="N142" r:id="rId131" display="mailto:juan.ostos@idt.gov.co" xr:uid="{CE743F81-60DE-43D2-A4A9-C2E70C9FA897}"/>
    <hyperlink ref="N143" r:id="rId132" display="mailto:jessica.algarra@idt.gov.co" xr:uid="{0CCFDF6E-EAF4-4BEA-AD77-5747152FBDA1}"/>
    <hyperlink ref="N144" r:id="rId133" display="mailto:juan.morales@idt.gov.co" xr:uid="{6B51E507-2799-4A60-9F75-758B287E94A5}"/>
    <hyperlink ref="N146" r:id="rId134" display="mailto:angela.puche@idt.gov.co" xr:uid="{9A8D9953-59CA-46FF-AF42-10B4B5185DD5}"/>
    <hyperlink ref="N147" r:id="rId135" display="mailto:fior.perez@idt.gov.co" xr:uid="{61009EBD-4F01-4253-B964-126E629D6779}"/>
    <hyperlink ref="N148" r:id="rId136" display="mailto:alejandra.galindo@idt.gov.co" xr:uid="{7E7411A9-1CD3-4676-979D-18CED8B349AA}"/>
    <hyperlink ref="N149" r:id="rId137" display="mailto:veronica.rodriguez@idt.gov.co" xr:uid="{8214C38E-AA0B-413E-8CA7-89CBD3FD2862}"/>
    <hyperlink ref="N150" r:id="rId138" display="mailto:juan.castro@idt.gov.co" xr:uid="{42C88990-019D-4B05-BFC0-8E654098A7CE}"/>
    <hyperlink ref="N151" r:id="rId139" display="mailto:esteban.cruz@idt.gov.co" xr:uid="{8E485E22-8AA8-41CA-AB96-99424094FB09}"/>
    <hyperlink ref="N152" r:id="rId140" display="mailto:leidy.nova@idt.gov.co" xr:uid="{E8B85082-5BF0-4206-983B-A5DDC06D5E16}"/>
    <hyperlink ref="N153" r:id="rId141" display="mailto:adriana.alfonso@idt.gov.co" xr:uid="{59AF1972-D545-46DF-9430-7D936B009093}"/>
    <hyperlink ref="N154" r:id="rId142" display="mailto:maria.villota@idt.gov.co" xr:uid="{6BD7B9DB-A7C2-4AE5-B482-0F394635C988}"/>
    <hyperlink ref="N155" r:id="rId143" display="mailto:daniela.bogota@idt.gov.co" xr:uid="{BA0F2080-02B4-4603-9778-238041A9D3E9}"/>
    <hyperlink ref="N156" r:id="rId144" display="mailto:cindy.bautista@idt.gov.co" xr:uid="{A43966C1-8899-42BC-A256-D114902AA306}"/>
    <hyperlink ref="N157" r:id="rId145" display="mailto:ismael.prieto@idt.gov.co" xr:uid="{23BAB051-4224-4B73-9A4A-5BFEBE5FB0B1}"/>
    <hyperlink ref="N158" r:id="rId146" display="mailto:nataly.bedoya@idt.gov.co" xr:uid="{EB6D5BB9-73CF-42C3-8FE1-6B78FCA859A6}"/>
    <hyperlink ref="N159" r:id="rId147" display="mailto:miller.huertas@idt.gov.co" xr:uid="{A68B4D63-6DA5-40D1-9002-EDE351F99E52}"/>
    <hyperlink ref="N10" r:id="rId148" xr:uid="{385ECFD5-BD7E-46A3-BC87-68C263C5D8D2}"/>
    <hyperlink ref="N65" r:id="rId149" xr:uid="{142AFE8D-E1FB-466C-AAF8-E93B77EB1F3A}"/>
    <hyperlink ref="N66" r:id="rId150" xr:uid="{3DF57EAE-5026-4080-B5C5-A90ADE36107F}"/>
    <hyperlink ref="N79" r:id="rId151" xr:uid="{DF4D44BF-D96A-4845-9503-95CB3056397D}"/>
    <hyperlink ref="N85" r:id="rId152" xr:uid="{78EF4A30-5DEA-4E5E-A8A8-EFA40A986433}"/>
    <hyperlink ref="N92" r:id="rId153" xr:uid="{54CD1788-908D-4BFC-B0C2-C186FDDA5323}"/>
    <hyperlink ref="N145" r:id="rId154" xr:uid="{7EF564FD-4631-42CC-B220-9AE870C0655A}"/>
    <hyperlink ref="N160" r:id="rId155" xr:uid="{6579E50B-1A99-449B-AA7A-628D9B309DBB}"/>
    <hyperlink ref="N200" r:id="rId156" xr:uid="{C7DE309E-01E0-45E9-B386-ADA7EC698D1C}"/>
    <hyperlink ref="N202" r:id="rId157" xr:uid="{F007773B-7610-464C-81A4-58F019DA405A}"/>
    <hyperlink ref="N205" r:id="rId158" xr:uid="{0E7A730F-C848-47B8-821E-F030DD421FDE}"/>
    <hyperlink ref="N207" r:id="rId159" xr:uid="{ECC8ECF1-F605-4D3C-AAA7-A93CE8F8AF99}"/>
    <hyperlink ref="N210" r:id="rId160" xr:uid="{0414B0E1-7F43-46CF-802C-D27C4B259009}"/>
    <hyperlink ref="N211" r:id="rId161" xr:uid="{5785FF05-AE6C-4A03-A701-E9BA6C2D2850}"/>
    <hyperlink ref="N212" r:id="rId162" xr:uid="{C53B881F-35F3-46BD-88A4-2B50012E4BBA}"/>
    <hyperlink ref="N213" r:id="rId163" xr:uid="{C99CB3D2-8931-4C8E-A045-9BB318D12AE2}"/>
    <hyperlink ref="N216" r:id="rId164" xr:uid="{F1FC37FE-E19C-487C-847C-BC82F08ACE27}"/>
    <hyperlink ref="N217" r:id="rId165" xr:uid="{D11880F6-E139-4416-8095-1ACCA814374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1A32B9-91B1-4253-A470-93929F9D09B0}">
  <sheetPr codeName="Hoja29"/>
  <dimension ref="A1:O26"/>
  <sheetViews>
    <sheetView workbookViewId="0">
      <selection sqref="A1:J1"/>
    </sheetView>
  </sheetViews>
  <sheetFormatPr baseColWidth="10" defaultColWidth="11.7265625" defaultRowHeight="13.5" x14ac:dyDescent="0.3"/>
  <cols>
    <col min="1" max="1" width="41.1796875" style="1" customWidth="1"/>
    <col min="2" max="2" width="34.453125" style="1" customWidth="1"/>
    <col min="3" max="3" width="16.1796875" style="1" bestFit="1" customWidth="1"/>
    <col min="4" max="4" width="11.7265625" style="1" customWidth="1"/>
    <col min="5" max="5" width="16.1796875" style="1" bestFit="1" customWidth="1"/>
    <col min="6" max="6" width="9.453125" style="1" customWidth="1"/>
    <col min="7" max="7" width="16.81640625" style="1" bestFit="1" customWidth="1"/>
    <col min="8" max="9" width="16.81640625" style="1" customWidth="1"/>
    <col min="10" max="10" width="11.26953125" style="1" customWidth="1"/>
    <col min="11" max="11" width="16.1796875" style="6" bestFit="1" customWidth="1"/>
    <col min="12" max="12" width="18.81640625" style="1" bestFit="1" customWidth="1"/>
    <col min="13" max="13" width="17.453125" style="1" customWidth="1"/>
    <col min="14" max="14" width="16.453125" style="1" customWidth="1"/>
    <col min="15" max="16384" width="11.7265625" style="1"/>
  </cols>
  <sheetData>
    <row r="1" spans="1:15" ht="24.5" x14ac:dyDescent="0.7">
      <c r="A1" s="409" t="e">
        <f>+#REF!</f>
        <v>#REF!</v>
      </c>
      <c r="B1" s="409"/>
      <c r="C1" s="409"/>
      <c r="D1" s="409"/>
      <c r="E1" s="409"/>
      <c r="F1" s="409"/>
      <c r="G1" s="409"/>
      <c r="H1" s="409"/>
      <c r="I1" s="409"/>
      <c r="J1" s="409"/>
    </row>
    <row r="2" spans="1:15" ht="18" x14ac:dyDescent="0.5">
      <c r="A2" s="410" t="e">
        <f>+#REF!</f>
        <v>#REF!</v>
      </c>
      <c r="B2" s="410"/>
      <c r="C2" s="410"/>
      <c r="D2" s="410"/>
      <c r="E2" s="410"/>
      <c r="F2" s="410"/>
      <c r="G2" s="410"/>
      <c r="H2" s="410"/>
      <c r="I2" s="410"/>
      <c r="J2" s="410"/>
    </row>
    <row r="3" spans="1:15" ht="17.5" x14ac:dyDescent="0.35">
      <c r="A3" s="411" t="e">
        <f>+#REF!</f>
        <v>#REF!</v>
      </c>
      <c r="B3" s="411"/>
      <c r="C3" s="411"/>
      <c r="D3" s="411"/>
      <c r="E3" s="411"/>
      <c r="F3" s="411"/>
      <c r="G3" s="411"/>
      <c r="H3" s="411"/>
      <c r="I3" s="411"/>
      <c r="J3" s="411"/>
      <c r="L3" s="6"/>
    </row>
    <row r="4" spans="1:15" ht="17.5" x14ac:dyDescent="0.35">
      <c r="A4" s="411" t="e">
        <f>+#REF!</f>
        <v>#REF!</v>
      </c>
      <c r="B4" s="411"/>
      <c r="C4" s="411"/>
      <c r="D4" s="411"/>
      <c r="E4" s="411"/>
      <c r="F4" s="411"/>
      <c r="G4" s="411"/>
      <c r="H4" s="411"/>
      <c r="I4" s="411"/>
      <c r="J4" s="411"/>
      <c r="L4" s="6"/>
    </row>
    <row r="5" spans="1:15" ht="17.5" x14ac:dyDescent="0.35">
      <c r="A5" s="411" t="e">
        <f>+#REF!</f>
        <v>#REF!</v>
      </c>
      <c r="B5" s="411"/>
      <c r="C5" s="411"/>
      <c r="D5" s="411"/>
      <c r="E5" s="411"/>
      <c r="F5" s="411"/>
      <c r="G5" s="411"/>
      <c r="H5" s="411"/>
      <c r="I5" s="411"/>
      <c r="J5" s="411"/>
    </row>
    <row r="6" spans="1:15" ht="16" thickBot="1" x14ac:dyDescent="0.4">
      <c r="A6" s="412" t="e">
        <f>+#REF!</f>
        <v>#REF!</v>
      </c>
      <c r="B6" s="412"/>
      <c r="C6" s="412"/>
      <c r="D6" s="412"/>
      <c r="E6" s="412"/>
      <c r="F6" s="412"/>
      <c r="G6" s="412"/>
      <c r="H6" s="412"/>
      <c r="I6" s="412"/>
      <c r="J6" s="412"/>
    </row>
    <row r="7" spans="1:15" s="11" customFormat="1" ht="95.25" customHeight="1" thickBot="1" x14ac:dyDescent="0.4">
      <c r="A7" s="406" t="s">
        <v>879</v>
      </c>
      <c r="B7" s="407"/>
      <c r="C7" s="407"/>
      <c r="D7" s="407"/>
      <c r="E7" s="407"/>
      <c r="F7" s="407"/>
      <c r="G7" s="407"/>
      <c r="H7" s="407"/>
      <c r="I7" s="407"/>
      <c r="J7" s="407"/>
      <c r="K7" s="407"/>
      <c r="L7" s="407"/>
      <c r="M7" s="407"/>
      <c r="N7" s="408"/>
    </row>
    <row r="8" spans="1:15" s="2" customFormat="1" ht="63" customHeight="1" thickBot="1" x14ac:dyDescent="0.35">
      <c r="A8" s="12" t="s">
        <v>880</v>
      </c>
      <c r="B8" s="12" t="s">
        <v>7</v>
      </c>
      <c r="C8" s="13" t="s">
        <v>881</v>
      </c>
      <c r="D8" s="13" t="s">
        <v>882</v>
      </c>
      <c r="E8" s="13" t="s">
        <v>883</v>
      </c>
      <c r="F8" s="13" t="s">
        <v>884</v>
      </c>
      <c r="G8" s="13" t="s">
        <v>885</v>
      </c>
      <c r="H8" s="13" t="s">
        <v>886</v>
      </c>
      <c r="I8" s="13" t="s">
        <v>887</v>
      </c>
      <c r="J8" s="13" t="s">
        <v>888</v>
      </c>
      <c r="K8" s="13" t="s">
        <v>889</v>
      </c>
      <c r="L8" s="13" t="s">
        <v>890</v>
      </c>
      <c r="M8" s="13" t="s">
        <v>891</v>
      </c>
      <c r="N8" s="13" t="s">
        <v>892</v>
      </c>
    </row>
    <row r="9" spans="1:15" x14ac:dyDescent="0.3">
      <c r="A9" s="26"/>
      <c r="B9" s="17"/>
      <c r="C9" s="8"/>
      <c r="D9" s="71">
        <v>0</v>
      </c>
      <c r="E9" s="71"/>
      <c r="F9" s="15">
        <v>0</v>
      </c>
      <c r="G9" s="24">
        <f>ROUND(+C9*F9,0)</f>
        <v>0</v>
      </c>
      <c r="H9" s="24"/>
      <c r="I9" s="72"/>
      <c r="J9" s="25">
        <f>+I9</f>
        <v>0</v>
      </c>
      <c r="K9" s="25">
        <f>ROUND((+C9/30*J9)/3*2,0)</f>
        <v>0</v>
      </c>
      <c r="L9" s="25">
        <f>ROUND((+E9/30*J9)/3*2,0)</f>
        <v>0</v>
      </c>
      <c r="M9" s="25">
        <f>ROUND((+G9/30*J9)/3*2,0)</f>
        <v>0</v>
      </c>
      <c r="N9" s="25">
        <f>ROUND((+H9/30*J9)/3*2,0)</f>
        <v>0</v>
      </c>
      <c r="O9" s="6"/>
    </row>
    <row r="10" spans="1:15" x14ac:dyDescent="0.3">
      <c r="A10" s="26"/>
      <c r="B10" s="17"/>
      <c r="C10" s="8"/>
      <c r="D10" s="71">
        <v>0.4</v>
      </c>
      <c r="E10" s="71">
        <f>ROUND(+C10*D10,0)</f>
        <v>0</v>
      </c>
      <c r="F10" s="15">
        <v>0.5</v>
      </c>
      <c r="G10" s="24">
        <f>ROUND(+C10*F10,0)</f>
        <v>0</v>
      </c>
      <c r="H10" s="24">
        <v>0</v>
      </c>
      <c r="I10" s="72"/>
      <c r="J10" s="25"/>
      <c r="K10" s="25">
        <f>ROUND((+C10/30*J10)/3*2,0)</f>
        <v>0</v>
      </c>
      <c r="L10" s="25">
        <f>ROUND((+E10/30*J10)/3*2,0)</f>
        <v>0</v>
      </c>
      <c r="M10" s="25">
        <f>ROUND((+G10/30*J10)/3*2,0)</f>
        <v>0</v>
      </c>
      <c r="N10" s="25">
        <f>ROUND((+H10/30*J10)/3*2,0)</f>
        <v>0</v>
      </c>
      <c r="O10" s="6"/>
    </row>
    <row r="11" spans="1:15" ht="14" thickBot="1" x14ac:dyDescent="0.35">
      <c r="A11" s="26"/>
      <c r="B11" s="17"/>
      <c r="C11" s="8"/>
      <c r="D11" s="71">
        <v>0.3</v>
      </c>
      <c r="E11" s="71">
        <f>ROUND(+C11*D11,0)</f>
        <v>0</v>
      </c>
      <c r="F11" s="15">
        <v>0.5</v>
      </c>
      <c r="G11" s="24">
        <f>ROUND(+C11*F11,0)</f>
        <v>0</v>
      </c>
      <c r="H11" s="24">
        <v>0</v>
      </c>
      <c r="I11" s="72"/>
      <c r="J11" s="25"/>
      <c r="K11" s="24">
        <f>ROUND((+C11/30*J11)/3*2,0)</f>
        <v>0</v>
      </c>
      <c r="L11" s="92">
        <f>ROUND((+E11/30*J11)/3*2,0)</f>
        <v>0</v>
      </c>
      <c r="M11" s="25">
        <f>ROUND((+G11/30*J11)/3*2,0)</f>
        <v>0</v>
      </c>
      <c r="N11" s="25">
        <f>ROUND((+H11/30*J11)/3*2,0)</f>
        <v>0</v>
      </c>
      <c r="O11" s="6"/>
    </row>
    <row r="12" spans="1:15" ht="17.5" thickBot="1" x14ac:dyDescent="0.4">
      <c r="A12" s="9" t="s">
        <v>893</v>
      </c>
      <c r="B12" s="10"/>
      <c r="C12" s="16">
        <f>SUM(C9:C9)</f>
        <v>0</v>
      </c>
      <c r="D12" s="16"/>
      <c r="E12" s="16"/>
      <c r="F12" s="10"/>
      <c r="G12" s="16">
        <f>SUM(G9:G9)</f>
        <v>0</v>
      </c>
      <c r="H12" s="16"/>
      <c r="I12" s="16"/>
      <c r="J12" s="10"/>
      <c r="K12" s="16">
        <f>SUM(K9:K11)</f>
        <v>0</v>
      </c>
      <c r="L12" s="16">
        <f>SUM(L9:L11)</f>
        <v>0</v>
      </c>
      <c r="M12" s="16">
        <f>SUM(M9:M11)</f>
        <v>0</v>
      </c>
      <c r="N12" s="16">
        <f>SUM(N9:N11)</f>
        <v>0</v>
      </c>
    </row>
    <row r="13" spans="1:15" ht="17" x14ac:dyDescent="0.35">
      <c r="B13" s="5"/>
      <c r="C13" s="6"/>
      <c r="D13" s="6"/>
      <c r="E13" s="6"/>
      <c r="F13" s="6"/>
      <c r="G13" s="6"/>
      <c r="H13" s="6"/>
      <c r="I13" s="6"/>
      <c r="J13" s="6"/>
    </row>
    <row r="14" spans="1:15" ht="17" x14ac:dyDescent="0.35">
      <c r="B14" s="5"/>
      <c r="C14" s="6"/>
      <c r="D14" s="6"/>
      <c r="E14" s="6"/>
      <c r="F14" s="6"/>
      <c r="G14" s="6"/>
      <c r="H14" s="6"/>
      <c r="I14" s="6"/>
      <c r="J14" s="6"/>
    </row>
    <row r="15" spans="1:15" ht="17" x14ac:dyDescent="0.35">
      <c r="B15" s="5"/>
      <c r="C15" s="6"/>
      <c r="D15" s="6"/>
      <c r="E15" s="6"/>
      <c r="F15" s="6"/>
      <c r="G15" s="6"/>
      <c r="H15" s="6"/>
      <c r="I15" s="6"/>
      <c r="J15" s="6"/>
    </row>
    <row r="16" spans="1:15" ht="17" x14ac:dyDescent="0.35">
      <c r="B16" s="5"/>
      <c r="C16" s="14"/>
      <c r="D16" s="14"/>
      <c r="E16" s="14"/>
      <c r="F16" s="14"/>
      <c r="G16" s="14"/>
      <c r="H16" s="14"/>
      <c r="I16" s="14"/>
      <c r="J16" s="14"/>
    </row>
    <row r="17" spans="1:11" ht="43.5" customHeight="1" thickBot="1" x14ac:dyDescent="0.35">
      <c r="A17" s="3"/>
    </row>
    <row r="18" spans="1:11" ht="20" x14ac:dyDescent="0.3">
      <c r="A18" s="89" t="s">
        <v>894</v>
      </c>
      <c r="C18" s="405" t="s">
        <v>895</v>
      </c>
      <c r="D18" s="405"/>
      <c r="E18" s="405"/>
      <c r="F18" s="405"/>
      <c r="G18" s="405"/>
      <c r="H18" s="405"/>
      <c r="I18" s="405"/>
      <c r="J18" s="405"/>
    </row>
    <row r="22" spans="1:11" x14ac:dyDescent="0.3">
      <c r="A22" s="23" t="s">
        <v>896</v>
      </c>
    </row>
    <row r="23" spans="1:11" x14ac:dyDescent="0.3">
      <c r="A23" s="23"/>
    </row>
    <row r="24" spans="1:11" x14ac:dyDescent="0.3">
      <c r="A24" s="23" t="s">
        <v>897</v>
      </c>
    </row>
    <row r="25" spans="1:11" x14ac:dyDescent="0.3">
      <c r="K25" s="6">
        <v>81292</v>
      </c>
    </row>
    <row r="26" spans="1:11" x14ac:dyDescent="0.3">
      <c r="K26" s="6">
        <f>+K25-K9</f>
        <v>81292</v>
      </c>
    </row>
  </sheetData>
  <mergeCells count="8">
    <mergeCell ref="C18:J18"/>
    <mergeCell ref="A7:N7"/>
    <mergeCell ref="A1:J1"/>
    <mergeCell ref="A2:J2"/>
    <mergeCell ref="A3:J3"/>
    <mergeCell ref="A4:J4"/>
    <mergeCell ref="A5:J5"/>
    <mergeCell ref="A6:J6"/>
  </mergeCells>
  <phoneticPr fontId="6" type="noConversion"/>
  <printOptions horizontalCentered="1" verticalCentered="1"/>
  <pageMargins left="0.15748031496062992" right="0.15748031496062992" top="0.15748031496062992" bottom="0.15748031496062992" header="0.19685039370078741" footer="0.51181102362204722"/>
  <pageSetup paperSize="119" scale="65" firstPageNumber="0" orientation="landscape"/>
  <headerFooter alignWithMargins="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734A0F-1E7D-44EF-BA96-5B3730D9E677}">
  <sheetPr codeName="Hoja9">
    <tabColor rgb="FFFF0000"/>
    <pageSetUpPr fitToPage="1"/>
  </sheetPr>
  <dimension ref="A1:Y35"/>
  <sheetViews>
    <sheetView workbookViewId="0">
      <selection activeCell="G14" sqref="G14"/>
    </sheetView>
  </sheetViews>
  <sheetFormatPr baseColWidth="10" defaultColWidth="11.7265625" defaultRowHeight="12.5" x14ac:dyDescent="0.25"/>
  <cols>
    <col min="1" max="1" width="37.1796875" customWidth="1"/>
    <col min="2" max="2" width="22.26953125" customWidth="1"/>
    <col min="3" max="3" width="11.26953125" customWidth="1"/>
    <col min="4" max="4" width="14" customWidth="1"/>
    <col min="5" max="5" width="12.81640625" customWidth="1"/>
    <col min="6" max="6" width="18" customWidth="1"/>
    <col min="7" max="7" width="11.453125" customWidth="1"/>
    <col min="8" max="8" width="13.453125" customWidth="1"/>
    <col min="9" max="9" width="15.26953125" customWidth="1"/>
    <col min="10" max="10" width="11.7265625" style="157"/>
  </cols>
  <sheetData>
    <row r="1" spans="1:23" ht="20" x14ac:dyDescent="0.25">
      <c r="A1" s="426" t="e">
        <f>+#REF!</f>
        <v>#REF!</v>
      </c>
      <c r="B1" s="427"/>
      <c r="C1" s="427"/>
      <c r="D1" s="427"/>
      <c r="E1" s="427"/>
      <c r="F1" s="427"/>
      <c r="G1" s="427"/>
      <c r="H1" s="427"/>
      <c r="I1" s="428"/>
    </row>
    <row r="2" spans="1:23" ht="20" x14ac:dyDescent="0.25">
      <c r="A2" s="429" t="e">
        <f>+#REF!</f>
        <v>#REF!</v>
      </c>
      <c r="B2" s="430"/>
      <c r="C2" s="430"/>
      <c r="D2" s="430"/>
      <c r="E2" s="430"/>
      <c r="F2" s="430"/>
      <c r="G2" s="430"/>
      <c r="H2" s="430"/>
      <c r="I2" s="431"/>
    </row>
    <row r="3" spans="1:23" ht="15.5" x14ac:dyDescent="0.25">
      <c r="A3" s="432" t="e">
        <f>+#REF!</f>
        <v>#REF!</v>
      </c>
      <c r="B3" s="433"/>
      <c r="C3" s="433"/>
      <c r="D3" s="433"/>
      <c r="E3" s="433"/>
      <c r="F3" s="433"/>
      <c r="G3" s="433"/>
      <c r="H3" s="433"/>
      <c r="I3" s="434"/>
    </row>
    <row r="4" spans="1:23" ht="15.5" x14ac:dyDescent="0.25">
      <c r="A4" s="432" t="e">
        <f>+#REF!</f>
        <v>#REF!</v>
      </c>
      <c r="B4" s="433"/>
      <c r="C4" s="433"/>
      <c r="D4" s="433"/>
      <c r="E4" s="433"/>
      <c r="F4" s="433"/>
      <c r="G4" s="433"/>
      <c r="H4" s="433"/>
      <c r="I4" s="434"/>
    </row>
    <row r="5" spans="1:23" ht="15.5" x14ac:dyDescent="0.25">
      <c r="A5" s="423" t="e">
        <f>+#REF!</f>
        <v>#REF!</v>
      </c>
      <c r="B5" s="424"/>
      <c r="C5" s="424"/>
      <c r="D5" s="424"/>
      <c r="E5" s="424"/>
      <c r="F5" s="424"/>
      <c r="G5" s="424"/>
      <c r="H5" s="424"/>
      <c r="I5" s="425"/>
    </row>
    <row r="6" spans="1:23" ht="13" thickBot="1" x14ac:dyDescent="0.3">
      <c r="A6" s="156"/>
      <c r="B6" s="157"/>
      <c r="C6" s="157"/>
      <c r="D6" s="157"/>
      <c r="E6" s="157"/>
      <c r="F6" s="157"/>
      <c r="G6" s="157"/>
      <c r="H6" s="157"/>
      <c r="I6" s="158"/>
    </row>
    <row r="7" spans="1:23" s="159" customFormat="1" ht="18.75" customHeight="1" thickBot="1" x14ac:dyDescent="0.35">
      <c r="A7" s="415" t="s">
        <v>898</v>
      </c>
      <c r="B7" s="416"/>
      <c r="C7" s="416"/>
      <c r="D7" s="416"/>
      <c r="E7" s="416"/>
      <c r="F7" s="416"/>
      <c r="G7" s="416"/>
      <c r="H7" s="416"/>
      <c r="I7" s="417"/>
      <c r="J7" s="319"/>
    </row>
    <row r="8" spans="1:23" s="159" customFormat="1" ht="56.25" customHeight="1" thickBot="1" x14ac:dyDescent="0.35">
      <c r="A8" s="364" t="s">
        <v>880</v>
      </c>
      <c r="B8" s="365" t="s">
        <v>7</v>
      </c>
      <c r="C8" s="366" t="s">
        <v>899</v>
      </c>
      <c r="D8" s="365" t="s">
        <v>900</v>
      </c>
      <c r="E8" s="366" t="s">
        <v>886</v>
      </c>
      <c r="F8" s="365" t="s">
        <v>901</v>
      </c>
      <c r="G8" s="365" t="s">
        <v>893</v>
      </c>
      <c r="H8" s="365" t="s">
        <v>902</v>
      </c>
      <c r="I8" s="367" t="s">
        <v>903</v>
      </c>
      <c r="J8" s="319"/>
      <c r="K8" s="171"/>
    </row>
    <row r="9" spans="1:23" s="159" customFormat="1" ht="29.25" customHeight="1" x14ac:dyDescent="0.3">
      <c r="A9" s="343">
        <v>0</v>
      </c>
      <c r="B9" s="344" t="s">
        <v>904</v>
      </c>
      <c r="C9" s="345">
        <v>0</v>
      </c>
      <c r="D9" s="346">
        <v>0</v>
      </c>
      <c r="E9" s="346" t="e">
        <f>#REF!</f>
        <v>#REF!</v>
      </c>
      <c r="F9" s="346">
        <v>0</v>
      </c>
      <c r="G9" s="347" t="e">
        <f t="shared" ref="G9:G14" si="0">SUM(D9:F9)</f>
        <v>#REF!</v>
      </c>
      <c r="H9" s="348">
        <v>0.35</v>
      </c>
      <c r="I9" s="349" t="e">
        <f>ROUND((G9*H9),0)</f>
        <v>#REF!</v>
      </c>
      <c r="J9" s="319"/>
      <c r="K9" s="171"/>
    </row>
    <row r="10" spans="1:23" s="159" customFormat="1" ht="29.25" customHeight="1" x14ac:dyDescent="0.3">
      <c r="A10" s="350">
        <v>0</v>
      </c>
      <c r="B10" s="338" t="s">
        <v>905</v>
      </c>
      <c r="C10" s="339">
        <v>0</v>
      </c>
      <c r="D10" s="340">
        <v>0</v>
      </c>
      <c r="E10" s="340">
        <v>0</v>
      </c>
      <c r="F10" s="340">
        <v>0</v>
      </c>
      <c r="G10" s="341">
        <f t="shared" si="0"/>
        <v>0</v>
      </c>
      <c r="H10" s="342">
        <v>0.35</v>
      </c>
      <c r="I10" s="324">
        <f>ROUND((G10*H10),0)</f>
        <v>0</v>
      </c>
      <c r="J10" s="319"/>
      <c r="K10" s="171"/>
    </row>
    <row r="11" spans="1:23" s="159" customFormat="1" ht="29.25" customHeight="1" x14ac:dyDescent="0.3">
      <c r="A11" s="350">
        <v>0</v>
      </c>
      <c r="B11" s="338" t="s">
        <v>905</v>
      </c>
      <c r="C11" s="339">
        <v>0</v>
      </c>
      <c r="D11" s="340">
        <v>0</v>
      </c>
      <c r="E11" s="340">
        <v>0</v>
      </c>
      <c r="F11" s="340">
        <v>0</v>
      </c>
      <c r="G11" s="341">
        <f t="shared" si="0"/>
        <v>0</v>
      </c>
      <c r="H11" s="342">
        <v>0.35</v>
      </c>
      <c r="I11" s="324">
        <f>ROUND((G11*H11),0)</f>
        <v>0</v>
      </c>
      <c r="J11" s="319"/>
      <c r="K11" s="171"/>
    </row>
    <row r="12" spans="1:23" s="159" customFormat="1" ht="29.25" customHeight="1" x14ac:dyDescent="0.3">
      <c r="A12" s="350">
        <v>0</v>
      </c>
      <c r="B12" s="338" t="s">
        <v>905</v>
      </c>
      <c r="C12" s="339">
        <v>0</v>
      </c>
      <c r="D12" s="340">
        <v>0</v>
      </c>
      <c r="E12" s="340">
        <v>0</v>
      </c>
      <c r="F12" s="340">
        <v>0</v>
      </c>
      <c r="G12" s="341">
        <f t="shared" si="0"/>
        <v>0</v>
      </c>
      <c r="H12" s="342">
        <v>0.35</v>
      </c>
      <c r="I12" s="324">
        <f>ROUND((G12*H12),0)</f>
        <v>0</v>
      </c>
      <c r="J12" s="319"/>
      <c r="K12" s="171"/>
    </row>
    <row r="13" spans="1:23" s="159" customFormat="1" ht="27" customHeight="1" x14ac:dyDescent="0.3">
      <c r="A13" s="350">
        <v>0</v>
      </c>
      <c r="B13" s="338" t="s">
        <v>906</v>
      </c>
      <c r="C13" s="339">
        <v>0</v>
      </c>
      <c r="D13" s="340">
        <v>0</v>
      </c>
      <c r="E13" s="340">
        <v>0</v>
      </c>
      <c r="F13" s="340">
        <v>0</v>
      </c>
      <c r="G13" s="341">
        <f t="shared" si="0"/>
        <v>0</v>
      </c>
      <c r="H13" s="342">
        <v>0.35</v>
      </c>
      <c r="I13" s="324">
        <f>ROUND((G13*H13),0)</f>
        <v>0</v>
      </c>
      <c r="J13" s="319"/>
      <c r="K13" s="171"/>
    </row>
    <row r="14" spans="1:23" s="159" customFormat="1" ht="31.5" customHeight="1" x14ac:dyDescent="0.3">
      <c r="A14" s="350">
        <v>0</v>
      </c>
      <c r="B14" s="338" t="s">
        <v>907</v>
      </c>
      <c r="C14" s="339">
        <v>0</v>
      </c>
      <c r="D14" s="340">
        <v>0</v>
      </c>
      <c r="E14" s="340">
        <v>0</v>
      </c>
      <c r="F14" s="340">
        <v>0</v>
      </c>
      <c r="G14" s="341">
        <f t="shared" si="0"/>
        <v>0</v>
      </c>
      <c r="H14" s="342">
        <v>0.35</v>
      </c>
      <c r="I14" s="324">
        <f>ROUND((G14*0.35),0)</f>
        <v>0</v>
      </c>
      <c r="J14" s="319"/>
      <c r="K14" s="171"/>
    </row>
    <row r="15" spans="1:23" s="159" customFormat="1" ht="31.5" customHeight="1" thickBot="1" x14ac:dyDescent="0.35">
      <c r="A15" s="350">
        <v>0</v>
      </c>
      <c r="B15" s="338" t="s">
        <v>905</v>
      </c>
      <c r="C15" s="339">
        <v>0</v>
      </c>
      <c r="D15" s="340">
        <v>0</v>
      </c>
      <c r="E15" s="340">
        <v>0</v>
      </c>
      <c r="F15" s="340">
        <v>0</v>
      </c>
      <c r="G15" s="341">
        <f>SUM(D15:F15)</f>
        <v>0</v>
      </c>
      <c r="H15" s="342">
        <v>0.35</v>
      </c>
      <c r="I15" s="324">
        <f>ROUND((G15*0.35),0)</f>
        <v>0</v>
      </c>
      <c r="J15" s="319"/>
      <c r="K15" s="171"/>
    </row>
    <row r="16" spans="1:23" ht="21" customHeight="1" thickBot="1" x14ac:dyDescent="0.3">
      <c r="A16" s="358" t="s">
        <v>893</v>
      </c>
      <c r="B16" s="359"/>
      <c r="C16" s="360"/>
      <c r="D16" s="361">
        <f>SUM(D9:D15)</f>
        <v>0</v>
      </c>
      <c r="E16" s="362" t="e">
        <f>SUM(E9:E15)</f>
        <v>#REF!</v>
      </c>
      <c r="F16" s="361">
        <f>SUM(F9:F15)</f>
        <v>0</v>
      </c>
      <c r="G16" s="361" t="e">
        <f>SUM(G9:G15)</f>
        <v>#REF!</v>
      </c>
      <c r="H16" s="361"/>
      <c r="I16" s="363" t="e">
        <f>ROUND(SUM(I9:I15),0)</f>
        <v>#REF!</v>
      </c>
      <c r="K16" s="421"/>
      <c r="L16" s="421"/>
      <c r="M16" s="421"/>
      <c r="N16" s="421"/>
      <c r="O16" s="421"/>
      <c r="P16" s="421"/>
      <c r="Q16" s="421"/>
      <c r="R16" s="421"/>
      <c r="S16" s="421"/>
      <c r="T16" s="421"/>
      <c r="U16" s="421"/>
      <c r="V16" s="421"/>
      <c r="W16" s="421"/>
    </row>
    <row r="17" spans="1:25" x14ac:dyDescent="0.25">
      <c r="A17" s="156"/>
      <c r="B17" s="157"/>
      <c r="C17" s="157"/>
      <c r="D17" s="160"/>
      <c r="E17" s="160"/>
      <c r="F17" s="160"/>
      <c r="G17" s="160"/>
      <c r="H17" s="160"/>
      <c r="I17" s="161"/>
    </row>
    <row r="18" spans="1:25" ht="93.75" customHeight="1" thickBot="1" x14ac:dyDescent="0.3">
      <c r="A18" s="156"/>
      <c r="B18" s="157"/>
      <c r="C18" s="157"/>
      <c r="D18" s="160"/>
      <c r="E18" s="160"/>
      <c r="F18" s="160"/>
      <c r="G18" s="160"/>
      <c r="H18" s="320"/>
      <c r="I18" s="161"/>
    </row>
    <row r="19" spans="1:25" ht="24" customHeight="1" x14ac:dyDescent="0.25">
      <c r="A19" s="162" t="s">
        <v>908</v>
      </c>
      <c r="B19" s="157"/>
      <c r="C19" s="157"/>
      <c r="D19" s="418" t="s">
        <v>909</v>
      </c>
      <c r="E19" s="419"/>
      <c r="F19" s="419"/>
      <c r="G19" s="419"/>
      <c r="H19" s="418"/>
      <c r="I19" s="420"/>
    </row>
    <row r="20" spans="1:25" ht="13" x14ac:dyDescent="0.25">
      <c r="A20" s="174"/>
      <c r="B20" s="157"/>
      <c r="C20" s="157"/>
      <c r="D20" s="163"/>
      <c r="E20" s="163"/>
      <c r="F20" s="163"/>
      <c r="G20" s="163"/>
      <c r="H20" s="163"/>
      <c r="I20" s="164"/>
    </row>
    <row r="21" spans="1:25" ht="13" x14ac:dyDescent="0.25">
      <c r="A21" s="174"/>
      <c r="B21" s="157"/>
      <c r="C21" s="157"/>
      <c r="D21" s="163"/>
      <c r="E21" s="163"/>
      <c r="F21" s="163"/>
      <c r="G21" s="163"/>
      <c r="H21" s="163"/>
      <c r="I21" s="164"/>
    </row>
    <row r="22" spans="1:25" x14ac:dyDescent="0.25">
      <c r="A22" s="156"/>
      <c r="B22" s="157"/>
      <c r="C22" s="157"/>
      <c r="D22" s="157"/>
      <c r="E22" s="157"/>
      <c r="F22" s="157"/>
      <c r="G22" s="157"/>
      <c r="H22" s="157"/>
      <c r="I22" s="158"/>
    </row>
    <row r="23" spans="1:25" x14ac:dyDescent="0.25">
      <c r="A23" s="165" t="s">
        <v>910</v>
      </c>
      <c r="B23" s="157"/>
      <c r="C23" s="157"/>
      <c r="D23" s="157"/>
      <c r="E23" s="157"/>
      <c r="F23" s="157"/>
      <c r="G23" s="157"/>
      <c r="H23" s="157"/>
      <c r="I23" s="158"/>
    </row>
    <row r="24" spans="1:25" x14ac:dyDescent="0.25">
      <c r="A24" s="165" t="s">
        <v>911</v>
      </c>
      <c r="B24" s="157"/>
      <c r="C24" s="157"/>
      <c r="D24" s="157"/>
      <c r="E24" s="157"/>
      <c r="F24" s="157"/>
      <c r="G24" s="157"/>
      <c r="H24" s="157"/>
      <c r="I24" s="158"/>
    </row>
    <row r="25" spans="1:25" ht="13" thickBot="1" x14ac:dyDescent="0.3">
      <c r="A25" s="166" t="s">
        <v>912</v>
      </c>
      <c r="B25" s="167"/>
      <c r="C25" s="167"/>
      <c r="D25" s="167"/>
      <c r="E25" s="167"/>
      <c r="F25" s="167"/>
      <c r="G25" s="167"/>
      <c r="H25" s="167"/>
      <c r="I25" s="168"/>
    </row>
    <row r="26" spans="1:25" x14ac:dyDescent="0.25">
      <c r="A26" s="157"/>
      <c r="B26" s="157"/>
      <c r="C26" s="157"/>
      <c r="D26" s="157"/>
      <c r="E26" s="157"/>
      <c r="F26" s="157"/>
      <c r="G26" s="157"/>
      <c r="H26" s="157"/>
      <c r="I26" s="157"/>
    </row>
    <row r="29" spans="1:25" ht="17" x14ac:dyDescent="0.7">
      <c r="K29" s="422" t="s">
        <v>913</v>
      </c>
      <c r="L29" s="421"/>
      <c r="M29" s="421"/>
      <c r="N29" s="421"/>
      <c r="O29" s="421"/>
      <c r="P29" s="421"/>
      <c r="Q29" s="421"/>
      <c r="R29" s="421"/>
      <c r="S29" s="421"/>
      <c r="T29" s="421"/>
      <c r="U29" s="421"/>
      <c r="V29" s="421"/>
      <c r="W29" s="421"/>
    </row>
    <row r="31" spans="1:25" ht="17" x14ac:dyDescent="0.7">
      <c r="K31" s="413" t="s">
        <v>914</v>
      </c>
      <c r="L31" s="414"/>
      <c r="M31" s="414"/>
      <c r="N31" s="414"/>
      <c r="O31" s="414"/>
      <c r="P31" s="414"/>
      <c r="Q31" s="414"/>
      <c r="R31" s="414"/>
      <c r="S31" s="414"/>
      <c r="T31" s="414"/>
      <c r="U31" s="414"/>
      <c r="V31" s="414"/>
      <c r="W31" s="414"/>
      <c r="X31" s="414"/>
      <c r="Y31" s="414"/>
    </row>
    <row r="34" spans="2:9" x14ac:dyDescent="0.25">
      <c r="I34" s="169"/>
    </row>
    <row r="35" spans="2:9" ht="13" x14ac:dyDescent="0.3">
      <c r="B35" s="159"/>
      <c r="C35" s="159"/>
    </row>
  </sheetData>
  <mergeCells count="10">
    <mergeCell ref="A5:I5"/>
    <mergeCell ref="A1:I1"/>
    <mergeCell ref="A2:I2"/>
    <mergeCell ref="A3:I3"/>
    <mergeCell ref="A4:I4"/>
    <mergeCell ref="K31:Y31"/>
    <mergeCell ref="A7:I7"/>
    <mergeCell ref="D19:I19"/>
    <mergeCell ref="K16:W16"/>
    <mergeCell ref="K29:W29"/>
  </mergeCells>
  <phoneticPr fontId="6" type="noConversion"/>
  <printOptions horizontalCentered="1" verticalCentered="1"/>
  <pageMargins left="0.78740157480314965" right="0.78740157480314965" top="0.15748031496062992" bottom="0.15748031496062992" header="0.51181102362204722" footer="0.51181102362204722"/>
  <pageSetup scale="78" firstPageNumber="0" orientation="landscape"/>
  <headerFooter alignWithMargins="0">
    <oddHeader>&amp;C&amp;G</oddHeader>
    <oddFooter>&amp;CAvenida Carrera 24 No. 40 - 66. PBX: 2 17 07 11
www.bogotaturismo.gov.co</oddFooter>
  </headerFooter>
  <legacyDrawingHF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9BFB2B-6E1F-4AAD-A97D-7923B5A7B0CA}">
  <sheetPr codeName="Hoja30">
    <tabColor theme="7" tint="0.59999389629810485"/>
  </sheetPr>
  <dimension ref="B1:N412"/>
  <sheetViews>
    <sheetView zoomScaleNormal="100" workbookViewId="0">
      <selection activeCell="N212" sqref="N212"/>
    </sheetView>
  </sheetViews>
  <sheetFormatPr baseColWidth="10" defaultColWidth="11.453125" defaultRowHeight="12.5" x14ac:dyDescent="0.25"/>
  <cols>
    <col min="1" max="1" width="6" customWidth="1"/>
    <col min="2" max="2" width="58.1796875" customWidth="1"/>
    <col min="3" max="3" width="11.26953125" customWidth="1"/>
    <col min="4" max="4" width="13.453125" customWidth="1"/>
    <col min="5" max="5" width="3.7265625" customWidth="1"/>
    <col min="6" max="6" width="12.453125" customWidth="1"/>
    <col min="7" max="7" width="61.453125" hidden="1" customWidth="1"/>
    <col min="8" max="8" width="10" hidden="1" customWidth="1"/>
    <col min="9" max="9" width="10.453125" hidden="1" customWidth="1"/>
    <col min="10" max="10" width="13.1796875" hidden="1" customWidth="1"/>
    <col min="11" max="11" width="12" hidden="1" customWidth="1"/>
    <col min="12" max="12" width="11.7265625" hidden="1" customWidth="1"/>
    <col min="13" max="13" width="14.1796875" hidden="1" customWidth="1"/>
    <col min="14" max="14" width="15.7265625" style="196" bestFit="1" customWidth="1"/>
  </cols>
  <sheetData>
    <row r="1" spans="2:13" ht="13.5" customHeight="1" x14ac:dyDescent="0.25">
      <c r="B1" s="456" t="s">
        <v>915</v>
      </c>
      <c r="C1" s="457"/>
      <c r="D1" s="457"/>
      <c r="E1" s="458"/>
      <c r="G1" s="456" t="s">
        <v>916</v>
      </c>
      <c r="H1" s="457"/>
      <c r="I1" s="457"/>
      <c r="J1" s="457"/>
      <c r="K1" s="457"/>
      <c r="L1" s="458"/>
    </row>
    <row r="2" spans="2:13" ht="12.75" customHeight="1" x14ac:dyDescent="0.25">
      <c r="B2" s="459"/>
      <c r="C2" s="460"/>
      <c r="D2" s="460"/>
      <c r="E2" s="461"/>
      <c r="G2" s="459"/>
      <c r="H2" s="460"/>
      <c r="I2" s="460"/>
      <c r="J2" s="460"/>
      <c r="K2" s="460"/>
      <c r="L2" s="461"/>
    </row>
    <row r="3" spans="2:13" ht="19.5" customHeight="1" x14ac:dyDescent="0.25">
      <c r="B3" s="459"/>
      <c r="C3" s="460"/>
      <c r="D3" s="460"/>
      <c r="E3" s="461"/>
      <c r="G3" s="459"/>
      <c r="H3" s="460"/>
      <c r="I3" s="460"/>
      <c r="J3" s="460"/>
      <c r="K3" s="460"/>
      <c r="L3" s="461"/>
    </row>
    <row r="4" spans="2:13" ht="12" customHeight="1" x14ac:dyDescent="0.25">
      <c r="B4" s="459"/>
      <c r="C4" s="460"/>
      <c r="D4" s="460"/>
      <c r="E4" s="461"/>
      <c r="G4" s="459"/>
      <c r="H4" s="460"/>
      <c r="I4" s="460"/>
      <c r="J4" s="460"/>
      <c r="K4" s="460"/>
      <c r="L4" s="461"/>
    </row>
    <row r="5" spans="2:13" ht="12" customHeight="1" x14ac:dyDescent="0.25">
      <c r="B5" s="459"/>
      <c r="C5" s="460"/>
      <c r="D5" s="460"/>
      <c r="E5" s="461"/>
      <c r="G5" s="459"/>
      <c r="H5" s="460"/>
      <c r="I5" s="460"/>
      <c r="J5" s="460"/>
      <c r="K5" s="460"/>
      <c r="L5" s="461"/>
    </row>
    <row r="6" spans="2:13" ht="4.5" customHeight="1" x14ac:dyDescent="0.25">
      <c r="B6" s="459"/>
      <c r="C6" s="460"/>
      <c r="D6" s="460"/>
      <c r="E6" s="461"/>
      <c r="G6" s="459"/>
      <c r="H6" s="460"/>
      <c r="I6" s="460"/>
      <c r="J6" s="460"/>
      <c r="K6" s="460"/>
      <c r="L6" s="461"/>
    </row>
    <row r="7" spans="2:13" ht="15.5" x14ac:dyDescent="0.35">
      <c r="B7" s="462" t="s">
        <v>917</v>
      </c>
      <c r="C7" s="463"/>
      <c r="D7" s="463"/>
      <c r="E7" s="464"/>
      <c r="G7" s="468" t="s">
        <v>918</v>
      </c>
      <c r="H7" s="469"/>
      <c r="I7" s="469"/>
      <c r="J7" s="469"/>
      <c r="K7" s="469"/>
      <c r="L7" s="470"/>
    </row>
    <row r="8" spans="2:13" ht="15.5" x14ac:dyDescent="0.35">
      <c r="B8" s="465" t="s">
        <v>919</v>
      </c>
      <c r="C8" s="466"/>
      <c r="D8" s="466"/>
      <c r="E8" s="467"/>
      <c r="G8" s="468" t="s">
        <v>920</v>
      </c>
      <c r="H8" s="469"/>
      <c r="I8" s="469"/>
      <c r="J8" s="469"/>
      <c r="K8" s="469"/>
      <c r="L8" s="470"/>
    </row>
    <row r="9" spans="2:13" ht="12.75" customHeight="1" x14ac:dyDescent="0.25">
      <c r="B9" s="489" t="s">
        <v>921</v>
      </c>
      <c r="C9" s="490"/>
      <c r="D9" s="490"/>
      <c r="E9" s="491"/>
      <c r="G9" s="492" t="s">
        <v>922</v>
      </c>
      <c r="H9" s="493"/>
      <c r="I9" s="493"/>
      <c r="J9" s="493"/>
      <c r="K9" s="493"/>
      <c r="L9" s="494"/>
    </row>
    <row r="10" spans="2:13" ht="14.25" customHeight="1" x14ac:dyDescent="0.25">
      <c r="B10" s="489" t="s">
        <v>923</v>
      </c>
      <c r="C10" s="490"/>
      <c r="D10" s="490"/>
      <c r="E10" s="491"/>
      <c r="G10" s="492" t="s">
        <v>924</v>
      </c>
      <c r="H10" s="493"/>
      <c r="I10" s="493"/>
      <c r="J10" s="493"/>
      <c r="K10" s="493"/>
      <c r="L10" s="494"/>
    </row>
    <row r="11" spans="2:13" ht="14.25" customHeight="1" x14ac:dyDescent="0.25">
      <c r="B11" s="484" t="s">
        <v>925</v>
      </c>
      <c r="C11" s="485"/>
      <c r="D11" s="485"/>
      <c r="E11" s="486"/>
      <c r="G11" s="492" t="s">
        <v>926</v>
      </c>
      <c r="H11" s="493"/>
      <c r="I11" s="493"/>
      <c r="J11" s="493"/>
      <c r="K11" s="493"/>
      <c r="L11" s="494"/>
    </row>
    <row r="12" spans="2:13" ht="14.25" customHeight="1" x14ac:dyDescent="0.25">
      <c r="B12" s="454" t="s">
        <v>927</v>
      </c>
      <c r="C12" s="455"/>
      <c r="D12" s="487">
        <v>22</v>
      </c>
      <c r="E12" s="488"/>
      <c r="G12" s="498" t="s">
        <v>928</v>
      </c>
      <c r="H12" s="445"/>
      <c r="I12" s="445"/>
      <c r="J12" s="499">
        <v>0</v>
      </c>
      <c r="K12" s="499"/>
      <c r="L12" s="500"/>
    </row>
    <row r="13" spans="2:13" ht="14.25" customHeight="1" x14ac:dyDescent="0.25">
      <c r="B13" s="448"/>
      <c r="C13" s="449"/>
      <c r="D13" s="449"/>
      <c r="E13" s="450"/>
      <c r="G13" s="475"/>
      <c r="H13" s="476"/>
      <c r="I13" s="476"/>
      <c r="J13" s="476"/>
      <c r="K13" s="476"/>
      <c r="L13" s="477"/>
    </row>
    <row r="14" spans="2:13" ht="29.25" customHeight="1" x14ac:dyDescent="0.25">
      <c r="B14" s="435" t="s">
        <v>929</v>
      </c>
      <c r="C14" s="436"/>
      <c r="D14" s="294"/>
      <c r="E14" s="312"/>
      <c r="G14" s="478" t="s">
        <v>930</v>
      </c>
      <c r="H14" s="479"/>
      <c r="I14" s="479"/>
      <c r="J14" s="333" t="s">
        <v>931</v>
      </c>
      <c r="K14" s="333" t="s">
        <v>932</v>
      </c>
      <c r="L14" s="334" t="s">
        <v>933</v>
      </c>
    </row>
    <row r="15" spans="2:13" x14ac:dyDescent="0.25">
      <c r="B15" s="309" t="s">
        <v>934</v>
      </c>
      <c r="C15" s="294"/>
      <c r="D15" s="295">
        <v>0</v>
      </c>
      <c r="E15" s="310"/>
      <c r="G15" s="309" t="s">
        <v>934</v>
      </c>
      <c r="H15" s="294"/>
      <c r="I15" s="294"/>
      <c r="J15" s="295">
        <v>0</v>
      </c>
      <c r="K15" s="295">
        <v>0</v>
      </c>
      <c r="L15" s="310">
        <f>+K15-J15</f>
        <v>0</v>
      </c>
      <c r="M15" s="169"/>
    </row>
    <row r="16" spans="2:13" ht="14.25" hidden="1" customHeight="1" x14ac:dyDescent="0.25">
      <c r="B16" s="309" t="s">
        <v>935</v>
      </c>
      <c r="C16" s="294"/>
      <c r="D16" s="295">
        <v>0</v>
      </c>
      <c r="E16" s="310"/>
      <c r="G16" s="309" t="s">
        <v>935</v>
      </c>
      <c r="H16" s="294"/>
      <c r="I16" s="294"/>
      <c r="J16" s="295">
        <v>0</v>
      </c>
      <c r="K16" s="295">
        <f>+J16</f>
        <v>0</v>
      </c>
      <c r="L16" s="310">
        <f>+K16-J16</f>
        <v>0</v>
      </c>
    </row>
    <row r="17" spans="2:13" ht="14.25" customHeight="1" x14ac:dyDescent="0.25">
      <c r="B17" s="309" t="s">
        <v>936</v>
      </c>
      <c r="C17" s="294"/>
      <c r="D17" s="295">
        <v>0</v>
      </c>
      <c r="E17" s="310"/>
      <c r="G17" s="309" t="s">
        <v>936</v>
      </c>
      <c r="H17" s="294"/>
      <c r="I17" s="294"/>
      <c r="J17" s="295">
        <v>0</v>
      </c>
      <c r="K17" s="295">
        <v>0</v>
      </c>
      <c r="L17" s="310">
        <f>+K17-J17</f>
        <v>0</v>
      </c>
    </row>
    <row r="18" spans="2:13" ht="12.75" hidden="1" customHeight="1" x14ac:dyDescent="0.25">
      <c r="B18" s="309" t="s">
        <v>937</v>
      </c>
      <c r="C18" s="294"/>
      <c r="D18" s="295">
        <v>0</v>
      </c>
      <c r="E18" s="310"/>
      <c r="G18" s="309" t="s">
        <v>937</v>
      </c>
      <c r="H18" s="294"/>
      <c r="I18" s="294"/>
      <c r="J18" s="295">
        <f>+I18-H18</f>
        <v>0</v>
      </c>
      <c r="K18" s="295">
        <v>0</v>
      </c>
      <c r="L18" s="310">
        <f>+K18-J18</f>
        <v>0</v>
      </c>
    </row>
    <row r="19" spans="2:13" ht="12.75" hidden="1" customHeight="1" x14ac:dyDescent="0.3">
      <c r="B19" s="309" t="s">
        <v>938</v>
      </c>
      <c r="C19" s="294"/>
      <c r="D19" s="295">
        <v>0</v>
      </c>
      <c r="E19" s="310"/>
      <c r="G19" s="309" t="s">
        <v>938</v>
      </c>
      <c r="H19" s="294"/>
      <c r="I19" s="299"/>
      <c r="J19" s="295">
        <v>0</v>
      </c>
      <c r="K19" s="295">
        <v>0</v>
      </c>
      <c r="L19" s="310">
        <f>+K19-J19</f>
        <v>0</v>
      </c>
    </row>
    <row r="20" spans="2:13" x14ac:dyDescent="0.25">
      <c r="B20" s="309" t="s">
        <v>939</v>
      </c>
      <c r="C20" s="354">
        <v>0</v>
      </c>
      <c r="D20" s="295">
        <f>ROUND((C20/12),0)</f>
        <v>0</v>
      </c>
      <c r="E20" s="310"/>
      <c r="F20" s="169"/>
      <c r="G20" s="309" t="s">
        <v>940</v>
      </c>
      <c r="H20" s="355">
        <v>0</v>
      </c>
      <c r="I20" s="355">
        <v>0</v>
      </c>
      <c r="J20" s="295">
        <f>ROUND((H20/12),0)</f>
        <v>0</v>
      </c>
      <c r="K20" s="295">
        <f>ROUND((I20/12),0)</f>
        <v>0</v>
      </c>
      <c r="L20" s="310">
        <f>ROUND((K20-J20),0)</f>
        <v>0</v>
      </c>
    </row>
    <row r="21" spans="2:13" x14ac:dyDescent="0.25">
      <c r="B21" s="309" t="s">
        <v>941</v>
      </c>
      <c r="C21" s="295">
        <v>0</v>
      </c>
      <c r="D21" s="295">
        <f>ROUND((C21/12),0)</f>
        <v>0</v>
      </c>
      <c r="E21" s="310"/>
      <c r="G21" s="309" t="s">
        <v>942</v>
      </c>
      <c r="H21" s="296">
        <v>0</v>
      </c>
      <c r="I21" s="296">
        <v>0</v>
      </c>
      <c r="J21" s="295">
        <f>ROUND((H21/12),0)</f>
        <v>0</v>
      </c>
      <c r="K21" s="295">
        <f>ROUND((I21/12),0)</f>
        <v>0</v>
      </c>
      <c r="L21" s="310">
        <f>ROUND((K21-J21),0)</f>
        <v>0</v>
      </c>
    </row>
    <row r="22" spans="2:13" ht="14.5" thickBot="1" x14ac:dyDescent="0.35">
      <c r="B22" s="311" t="s">
        <v>943</v>
      </c>
      <c r="C22" s="294"/>
      <c r="D22" s="298">
        <f>ROUND(((D15+D16+D17+D18+D19+D20+D21)/30*D12)/360*360,0)</f>
        <v>0</v>
      </c>
      <c r="E22" s="317"/>
      <c r="F22" s="298">
        <f>ROUND(((D15+D16+D17+D18)/30*D12)/360*360,0)</f>
        <v>0</v>
      </c>
      <c r="G22" s="311" t="s">
        <v>943</v>
      </c>
      <c r="H22" s="294"/>
      <c r="I22" s="297">
        <v>0</v>
      </c>
      <c r="J22" s="298">
        <f>ROUND(((J15+J16+J17+J18+J19+J20+J21)/30)/360*360,0)</f>
        <v>0</v>
      </c>
      <c r="K22" s="298">
        <f>ROUND(((K15+K16+K17+K18+K19+K20+K21)/30)/360*360,0)</f>
        <v>0</v>
      </c>
      <c r="L22" s="335">
        <f>ROUND(((L15+L16+L17+L18+L19+L20+L21)/30*J12)/360*360,0)</f>
        <v>0</v>
      </c>
      <c r="M22" s="169"/>
    </row>
    <row r="23" spans="2:13" x14ac:dyDescent="0.25">
      <c r="B23" s="309"/>
      <c r="C23" s="294"/>
      <c r="D23" s="294"/>
      <c r="E23" s="312"/>
      <c r="F23" s="169"/>
      <c r="G23" s="309"/>
      <c r="H23" s="294"/>
      <c r="I23" s="294"/>
      <c r="J23" s="336"/>
      <c r="K23" s="336"/>
      <c r="L23" s="312"/>
    </row>
    <row r="24" spans="2:13" ht="12.75" customHeight="1" x14ac:dyDescent="0.25">
      <c r="B24" s="309"/>
      <c r="C24" s="294"/>
      <c r="D24" s="294"/>
      <c r="E24" s="312"/>
      <c r="F24" s="169"/>
      <c r="G24" s="309"/>
      <c r="H24" s="294"/>
      <c r="I24" s="294"/>
      <c r="J24" s="480" t="str">
        <f>+J14</f>
        <v>Valor día 2011</v>
      </c>
      <c r="K24" s="480" t="str">
        <f>+K14</f>
        <v>Valor día 2012</v>
      </c>
      <c r="L24" s="482" t="str">
        <f>+L14</f>
        <v>Diferencia</v>
      </c>
    </row>
    <row r="25" spans="2:13" ht="14.25" customHeight="1" x14ac:dyDescent="0.25">
      <c r="B25" s="435" t="s">
        <v>944</v>
      </c>
      <c r="C25" s="437"/>
      <c r="D25" s="294"/>
      <c r="E25" s="312"/>
      <c r="F25" s="169"/>
      <c r="G25" s="435" t="s">
        <v>945</v>
      </c>
      <c r="H25" s="437"/>
      <c r="I25" s="437"/>
      <c r="J25" s="481"/>
      <c r="K25" s="481"/>
      <c r="L25" s="483"/>
    </row>
    <row r="26" spans="2:13" ht="14.25" customHeight="1" x14ac:dyDescent="0.25">
      <c r="B26" s="309" t="s">
        <v>934</v>
      </c>
      <c r="C26" s="294"/>
      <c r="D26" s="295">
        <f>+D15</f>
        <v>0</v>
      </c>
      <c r="E26" s="310"/>
      <c r="G26" s="309" t="s">
        <v>934</v>
      </c>
      <c r="H26" s="294"/>
      <c r="I26" s="294"/>
      <c r="J26" s="295">
        <f t="shared" ref="J26:K30" si="0">+J15</f>
        <v>0</v>
      </c>
      <c r="K26" s="295">
        <f t="shared" si="0"/>
        <v>0</v>
      </c>
      <c r="L26" s="310">
        <f>+K26-J26</f>
        <v>0</v>
      </c>
    </row>
    <row r="27" spans="2:13" ht="12.75" hidden="1" customHeight="1" x14ac:dyDescent="0.25">
      <c r="B27" s="309" t="s">
        <v>935</v>
      </c>
      <c r="C27" s="294"/>
      <c r="D27" s="295">
        <f>+D16</f>
        <v>0</v>
      </c>
      <c r="E27" s="310"/>
      <c r="G27" s="309" t="s">
        <v>935</v>
      </c>
      <c r="H27" s="294"/>
      <c r="I27" s="294"/>
      <c r="J27" s="295">
        <f t="shared" si="0"/>
        <v>0</v>
      </c>
      <c r="K27" s="295">
        <f t="shared" si="0"/>
        <v>0</v>
      </c>
      <c r="L27" s="310">
        <f>+K27-J27</f>
        <v>0</v>
      </c>
    </row>
    <row r="28" spans="2:13" ht="14.25" customHeight="1" x14ac:dyDescent="0.25">
      <c r="B28" s="309" t="s">
        <v>936</v>
      </c>
      <c r="C28" s="294"/>
      <c r="D28" s="295">
        <f>+D17</f>
        <v>0</v>
      </c>
      <c r="E28" s="310"/>
      <c r="G28" s="309" t="s">
        <v>936</v>
      </c>
      <c r="H28" s="294"/>
      <c r="I28" s="294"/>
      <c r="J28" s="295">
        <f t="shared" si="0"/>
        <v>0</v>
      </c>
      <c r="K28" s="295">
        <f t="shared" si="0"/>
        <v>0</v>
      </c>
      <c r="L28" s="310">
        <f>+K28-J28</f>
        <v>0</v>
      </c>
    </row>
    <row r="29" spans="2:13" ht="14.25" hidden="1" customHeight="1" x14ac:dyDescent="0.25">
      <c r="B29" s="309" t="s">
        <v>937</v>
      </c>
      <c r="C29" s="294"/>
      <c r="D29" s="295">
        <f>+D18</f>
        <v>0</v>
      </c>
      <c r="E29" s="310"/>
      <c r="G29" s="309" t="s">
        <v>937</v>
      </c>
      <c r="H29" s="294"/>
      <c r="I29" s="294"/>
      <c r="J29" s="295">
        <f t="shared" si="0"/>
        <v>0</v>
      </c>
      <c r="K29" s="295">
        <f t="shared" si="0"/>
        <v>0</v>
      </c>
      <c r="L29" s="310">
        <f>+K29-J29</f>
        <v>0</v>
      </c>
    </row>
    <row r="30" spans="2:13" ht="12.75" hidden="1" customHeight="1" x14ac:dyDescent="0.3">
      <c r="B30" s="309" t="s">
        <v>938</v>
      </c>
      <c r="C30" s="294"/>
      <c r="D30" s="295">
        <f>+D19</f>
        <v>0</v>
      </c>
      <c r="E30" s="310"/>
      <c r="G30" s="309" t="s">
        <v>938</v>
      </c>
      <c r="H30" s="294"/>
      <c r="I30" s="299"/>
      <c r="J30" s="295">
        <f t="shared" si="0"/>
        <v>0</v>
      </c>
      <c r="K30" s="295">
        <f t="shared" si="0"/>
        <v>0</v>
      </c>
      <c r="L30" s="310">
        <f>+K30-J30</f>
        <v>0</v>
      </c>
    </row>
    <row r="31" spans="2:13" x14ac:dyDescent="0.25">
      <c r="B31" s="309" t="str">
        <f>+B20</f>
        <v>1/12 Prima de Servicios Cancelada en Junio 2012</v>
      </c>
      <c r="C31" s="354">
        <f>+C20</f>
        <v>0</v>
      </c>
      <c r="D31" s="295">
        <f>ROUND((D20),0)</f>
        <v>0</v>
      </c>
      <c r="E31" s="310"/>
      <c r="G31" s="309" t="str">
        <f t="shared" ref="G31:I32" si="1">+G20</f>
        <v>1/12 Prima de Servicios Cancelada en Junio 2011 - 2012</v>
      </c>
      <c r="H31" s="296">
        <f t="shared" si="1"/>
        <v>0</v>
      </c>
      <c r="I31" s="296">
        <f t="shared" si="1"/>
        <v>0</v>
      </c>
      <c r="J31" s="295">
        <f>ROUND((H31/12),0)</f>
        <v>0</v>
      </c>
      <c r="K31" s="295">
        <f>ROUND((I31/12),0)</f>
        <v>0</v>
      </c>
      <c r="L31" s="310">
        <f>ROUND((K31-J31),0)</f>
        <v>0</v>
      </c>
    </row>
    <row r="32" spans="2:13" x14ac:dyDescent="0.25">
      <c r="B32" s="309" t="str">
        <f>+B21</f>
        <v>1/12 Bonificación Servicios Prestados Cancelada en marzo 2012</v>
      </c>
      <c r="C32" s="295">
        <f>+C21</f>
        <v>0</v>
      </c>
      <c r="D32" s="295">
        <f>ROUND((D21),0)</f>
        <v>0</v>
      </c>
      <c r="E32" s="310"/>
      <c r="G32" s="309" t="str">
        <f t="shared" si="1"/>
        <v>1/12 Bonificación Servicios Prestados Cancelada en Junio 2011</v>
      </c>
      <c r="H32" s="296">
        <f t="shared" si="1"/>
        <v>0</v>
      </c>
      <c r="I32" s="296">
        <f t="shared" si="1"/>
        <v>0</v>
      </c>
      <c r="J32" s="295">
        <f>ROUND((H32/12),0)</f>
        <v>0</v>
      </c>
      <c r="K32" s="295">
        <f>ROUND((I32/12),0)</f>
        <v>0</v>
      </c>
      <c r="L32" s="310">
        <f>ROUND((K32-J32),0)</f>
        <v>0</v>
      </c>
    </row>
    <row r="33" spans="2:13" ht="14.5" thickBot="1" x14ac:dyDescent="0.35">
      <c r="B33" s="311" t="s">
        <v>946</v>
      </c>
      <c r="C33" s="294"/>
      <c r="D33" s="298">
        <f>ROUND((D26+D27+D28+D29+D30+D31+D32)/2*360/360,0)</f>
        <v>0</v>
      </c>
      <c r="E33" s="317"/>
      <c r="G33" s="311" t="s">
        <v>947</v>
      </c>
      <c r="H33" s="294"/>
      <c r="I33" s="297">
        <v>15</v>
      </c>
      <c r="J33" s="298">
        <f>ROUND((J26+J27+J28+J29+J30+J31+J32)/2*360/360,0)</f>
        <v>0</v>
      </c>
      <c r="K33" s="298">
        <f>ROUND((K26+K27+K28+K29+K30+K31+K32)/2*360/360,0)</f>
        <v>0</v>
      </c>
      <c r="L33" s="337">
        <f>((L26+L27+L28+L29+L30+L31+L32)/30*0)</f>
        <v>0</v>
      </c>
      <c r="M33" s="169"/>
    </row>
    <row r="34" spans="2:13" x14ac:dyDescent="0.25">
      <c r="B34" s="309"/>
      <c r="C34" s="294"/>
      <c r="D34" s="295"/>
      <c r="E34" s="310"/>
      <c r="G34" s="309"/>
      <c r="H34" s="294"/>
      <c r="I34" s="294"/>
      <c r="J34" s="295"/>
      <c r="K34" s="295"/>
      <c r="L34" s="310"/>
    </row>
    <row r="35" spans="2:13" ht="15.75" customHeight="1" x14ac:dyDescent="0.25">
      <c r="B35" s="435" t="s">
        <v>948</v>
      </c>
      <c r="C35" s="437"/>
      <c r="D35" s="295"/>
      <c r="E35" s="310"/>
      <c r="G35" s="435" t="s">
        <v>948</v>
      </c>
      <c r="H35" s="437"/>
      <c r="I35" s="295"/>
      <c r="J35" s="295"/>
      <c r="K35" s="295"/>
      <c r="L35" s="310"/>
    </row>
    <row r="36" spans="2:13" x14ac:dyDescent="0.25">
      <c r="B36" s="309" t="s">
        <v>934</v>
      </c>
      <c r="C36" s="294"/>
      <c r="D36" s="295">
        <f>ROUND((D15),0)</f>
        <v>0</v>
      </c>
      <c r="E36" s="310"/>
      <c r="G36" s="309" t="s">
        <v>934</v>
      </c>
      <c r="H36" s="294"/>
      <c r="J36" s="295">
        <f>+J15</f>
        <v>0</v>
      </c>
      <c r="K36" s="295">
        <f>+K15</f>
        <v>0</v>
      </c>
      <c r="L36" s="310">
        <f>+K36-J36</f>
        <v>0</v>
      </c>
    </row>
    <row r="37" spans="2:13" ht="14.5" thickBot="1" x14ac:dyDescent="0.35">
      <c r="B37" s="311" t="s">
        <v>949</v>
      </c>
      <c r="C37" s="294"/>
      <c r="D37" s="298">
        <f>ROUND(((D36/30)*2),0)</f>
        <v>0</v>
      </c>
      <c r="E37" s="317"/>
      <c r="G37" s="311" t="s">
        <v>949</v>
      </c>
      <c r="H37" s="294"/>
      <c r="J37" s="298">
        <f>ROUND(J36/30*2,0)</f>
        <v>0</v>
      </c>
      <c r="K37" s="298">
        <f>ROUND(K36/30*2,0)</f>
        <v>0</v>
      </c>
      <c r="L37" s="335">
        <f>ROUND(L36/30*0,0)</f>
        <v>0</v>
      </c>
    </row>
    <row r="38" spans="2:13" x14ac:dyDescent="0.25">
      <c r="B38" s="309"/>
      <c r="C38" s="294"/>
      <c r="D38" s="294"/>
      <c r="E38" s="312"/>
      <c r="G38" s="309"/>
      <c r="H38" s="294"/>
      <c r="J38" s="294"/>
      <c r="K38" s="294"/>
      <c r="L38" s="310"/>
    </row>
    <row r="39" spans="2:13" ht="15.5" x14ac:dyDescent="0.35">
      <c r="B39" s="313" t="s">
        <v>950</v>
      </c>
      <c r="C39" s="299"/>
      <c r="D39" s="300">
        <f>D22+D33+D37</f>
        <v>0</v>
      </c>
      <c r="E39" s="318"/>
      <c r="G39" s="313" t="s">
        <v>951</v>
      </c>
      <c r="H39" s="299"/>
      <c r="I39" s="299"/>
      <c r="J39" s="473">
        <f>+L22+L33+L37</f>
        <v>0</v>
      </c>
      <c r="K39" s="473"/>
      <c r="L39" s="474"/>
    </row>
    <row r="40" spans="2:13" ht="13" thickBot="1" x14ac:dyDescent="0.3">
      <c r="B40" s="314"/>
      <c r="C40" s="315"/>
      <c r="D40" s="315"/>
      <c r="E40" s="316"/>
      <c r="G40" s="314"/>
      <c r="H40" s="315"/>
      <c r="I40" s="315"/>
      <c r="J40" s="315"/>
      <c r="K40" s="315"/>
      <c r="L40" s="316"/>
    </row>
    <row r="41" spans="2:13" ht="12.75" customHeight="1" x14ac:dyDescent="0.25">
      <c r="B41" s="173" t="s">
        <v>952</v>
      </c>
      <c r="G41" s="173" t="s">
        <v>952</v>
      </c>
    </row>
    <row r="42" spans="2:13" x14ac:dyDescent="0.25">
      <c r="B42" s="173" t="s">
        <v>953</v>
      </c>
      <c r="G42" s="173" t="s">
        <v>953</v>
      </c>
    </row>
    <row r="43" spans="2:13" ht="12.75" customHeight="1" x14ac:dyDescent="0.25">
      <c r="B43" s="173" t="s">
        <v>912</v>
      </c>
      <c r="G43" s="173" t="s">
        <v>954</v>
      </c>
    </row>
    <row r="44" spans="2:13" ht="12.75" customHeight="1" x14ac:dyDescent="0.25">
      <c r="B44" s="173"/>
    </row>
    <row r="45" spans="2:13" ht="13" thickBot="1" x14ac:dyDescent="0.3"/>
    <row r="46" spans="2:13" ht="12.75" customHeight="1" x14ac:dyDescent="0.25">
      <c r="B46" s="456" t="s">
        <v>915</v>
      </c>
      <c r="C46" s="457"/>
      <c r="D46" s="457"/>
      <c r="E46" s="458"/>
      <c r="G46" s="456" t="s">
        <v>916</v>
      </c>
      <c r="H46" s="457"/>
      <c r="I46" s="457"/>
      <c r="J46" s="457"/>
      <c r="K46" s="457"/>
      <c r="L46" s="458"/>
    </row>
    <row r="47" spans="2:13" ht="12.75" customHeight="1" x14ac:dyDescent="0.25">
      <c r="B47" s="459"/>
      <c r="C47" s="460"/>
      <c r="D47" s="460"/>
      <c r="E47" s="461"/>
      <c r="G47" s="459"/>
      <c r="H47" s="460"/>
      <c r="I47" s="460"/>
      <c r="J47" s="460"/>
      <c r="K47" s="460"/>
      <c r="L47" s="461"/>
    </row>
    <row r="48" spans="2:13" ht="12.75" customHeight="1" x14ac:dyDescent="0.25">
      <c r="B48" s="459"/>
      <c r="C48" s="460"/>
      <c r="D48" s="460"/>
      <c r="E48" s="461"/>
      <c r="G48" s="459"/>
      <c r="H48" s="460"/>
      <c r="I48" s="460"/>
      <c r="J48" s="460"/>
      <c r="K48" s="460"/>
      <c r="L48" s="461"/>
    </row>
    <row r="49" spans="2:12" ht="12.75" customHeight="1" x14ac:dyDescent="0.25">
      <c r="B49" s="459"/>
      <c r="C49" s="460"/>
      <c r="D49" s="460"/>
      <c r="E49" s="461"/>
      <c r="G49" s="459"/>
      <c r="H49" s="460"/>
      <c r="I49" s="460"/>
      <c r="J49" s="460"/>
      <c r="K49" s="460"/>
      <c r="L49" s="461"/>
    </row>
    <row r="50" spans="2:12" ht="12.75" customHeight="1" x14ac:dyDescent="0.25">
      <c r="B50" s="459"/>
      <c r="C50" s="460"/>
      <c r="D50" s="460"/>
      <c r="E50" s="461"/>
      <c r="G50" s="459"/>
      <c r="H50" s="460"/>
      <c r="I50" s="460"/>
      <c r="J50" s="460"/>
      <c r="K50" s="460"/>
      <c r="L50" s="461"/>
    </row>
    <row r="51" spans="2:12" ht="16.5" customHeight="1" x14ac:dyDescent="0.25">
      <c r="B51" s="459"/>
      <c r="C51" s="460"/>
      <c r="D51" s="460"/>
      <c r="E51" s="461"/>
      <c r="G51" s="459"/>
      <c r="H51" s="460"/>
      <c r="I51" s="460"/>
      <c r="J51" s="460"/>
      <c r="K51" s="460"/>
      <c r="L51" s="461"/>
    </row>
    <row r="52" spans="2:12" ht="15.5" x14ac:dyDescent="0.35">
      <c r="B52" s="465" t="s">
        <v>917</v>
      </c>
      <c r="C52" s="466"/>
      <c r="D52" s="466"/>
      <c r="E52" s="467"/>
      <c r="G52" s="495" t="s">
        <v>955</v>
      </c>
      <c r="H52" s="496"/>
      <c r="I52" s="496"/>
      <c r="J52" s="496"/>
      <c r="K52" s="496"/>
      <c r="L52" s="497"/>
    </row>
    <row r="53" spans="2:12" ht="15.5" x14ac:dyDescent="0.35">
      <c r="B53" s="465" t="s">
        <v>956</v>
      </c>
      <c r="C53" s="466"/>
      <c r="D53" s="466"/>
      <c r="E53" s="467"/>
      <c r="G53" s="495" t="s">
        <v>957</v>
      </c>
      <c r="H53" s="496"/>
      <c r="I53" s="496"/>
      <c r="J53" s="496"/>
      <c r="K53" s="496"/>
      <c r="L53" s="497"/>
    </row>
    <row r="54" spans="2:12" x14ac:dyDescent="0.25">
      <c r="B54" s="489" t="s">
        <v>958</v>
      </c>
      <c r="C54" s="490"/>
      <c r="D54" s="490"/>
      <c r="E54" s="491"/>
      <c r="G54" s="451" t="s">
        <v>959</v>
      </c>
      <c r="H54" s="452"/>
      <c r="I54" s="452"/>
      <c r="J54" s="452"/>
      <c r="K54" s="452"/>
      <c r="L54" s="453"/>
    </row>
    <row r="55" spans="2:12" x14ac:dyDescent="0.25">
      <c r="B55" s="489" t="s">
        <v>960</v>
      </c>
      <c r="C55" s="490"/>
      <c r="D55" s="490"/>
      <c r="E55" s="491"/>
      <c r="G55" s="451" t="s">
        <v>961</v>
      </c>
      <c r="H55" s="452"/>
      <c r="I55" s="452"/>
      <c r="J55" s="452"/>
      <c r="K55" s="452"/>
      <c r="L55" s="453"/>
    </row>
    <row r="56" spans="2:12" x14ac:dyDescent="0.25">
      <c r="B56" s="484" t="s">
        <v>962</v>
      </c>
      <c r="C56" s="485"/>
      <c r="D56" s="485"/>
      <c r="E56" s="486"/>
      <c r="G56" s="451" t="s">
        <v>963</v>
      </c>
      <c r="H56" s="452"/>
      <c r="I56" s="452"/>
      <c r="J56" s="452"/>
      <c r="K56" s="452"/>
      <c r="L56" s="453"/>
    </row>
    <row r="57" spans="2:12" x14ac:dyDescent="0.25">
      <c r="B57" s="454" t="s">
        <v>927</v>
      </c>
      <c r="C57" s="455"/>
      <c r="D57" s="487">
        <v>25</v>
      </c>
      <c r="E57" s="488"/>
      <c r="G57" s="454" t="s">
        <v>964</v>
      </c>
      <c r="H57" s="455"/>
      <c r="I57" s="455"/>
      <c r="J57" s="471">
        <v>12</v>
      </c>
      <c r="K57" s="471"/>
      <c r="L57" s="472"/>
    </row>
    <row r="58" spans="2:12" x14ac:dyDescent="0.25">
      <c r="B58" s="448"/>
      <c r="C58" s="449"/>
      <c r="D58" s="449"/>
      <c r="E58" s="450"/>
      <c r="G58" s="475"/>
      <c r="H58" s="476"/>
      <c r="I58" s="476"/>
      <c r="J58" s="476"/>
      <c r="K58" s="476"/>
      <c r="L58" s="477"/>
    </row>
    <row r="59" spans="2:12" ht="26" x14ac:dyDescent="0.25">
      <c r="B59" s="435" t="s">
        <v>929</v>
      </c>
      <c r="C59" s="436"/>
      <c r="D59" s="294"/>
      <c r="E59" s="312"/>
      <c r="G59" s="478" t="s">
        <v>930</v>
      </c>
      <c r="H59" s="479"/>
      <c r="I59" s="479"/>
      <c r="J59" s="333" t="s">
        <v>932</v>
      </c>
      <c r="K59" s="333" t="s">
        <v>932</v>
      </c>
      <c r="L59" s="334" t="s">
        <v>933</v>
      </c>
    </row>
    <row r="60" spans="2:12" x14ac:dyDescent="0.25">
      <c r="B60" s="309" t="s">
        <v>934</v>
      </c>
      <c r="C60" s="294"/>
      <c r="D60" s="295">
        <v>0</v>
      </c>
      <c r="E60" s="310"/>
      <c r="G60" s="309" t="s">
        <v>934</v>
      </c>
      <c r="H60" s="294"/>
      <c r="I60" s="294"/>
      <c r="J60" s="295">
        <v>0</v>
      </c>
      <c r="K60" s="295">
        <v>0</v>
      </c>
      <c r="L60" s="310">
        <f>+K60-J60</f>
        <v>0</v>
      </c>
    </row>
    <row r="61" spans="2:12" x14ac:dyDescent="0.25">
      <c r="B61" s="309" t="s">
        <v>935</v>
      </c>
      <c r="C61" s="294"/>
      <c r="D61" s="295">
        <v>0</v>
      </c>
      <c r="E61" s="310"/>
      <c r="G61" s="309" t="s">
        <v>935</v>
      </c>
      <c r="H61" s="294"/>
      <c r="I61" s="294"/>
      <c r="J61" s="295">
        <v>0</v>
      </c>
      <c r="K61" s="295">
        <f>+J61</f>
        <v>0</v>
      </c>
      <c r="L61" s="310">
        <f>+K61-J61</f>
        <v>0</v>
      </c>
    </row>
    <row r="62" spans="2:12" x14ac:dyDescent="0.25">
      <c r="B62" s="309" t="s">
        <v>936</v>
      </c>
      <c r="C62" s="294"/>
      <c r="D62" s="295">
        <v>0</v>
      </c>
      <c r="E62" s="310"/>
      <c r="G62" s="309" t="s">
        <v>936</v>
      </c>
      <c r="H62" s="294"/>
      <c r="I62" s="294"/>
      <c r="J62" s="295">
        <f>+J60*40%</f>
        <v>0</v>
      </c>
      <c r="K62" s="295">
        <f>+K60*40%</f>
        <v>0</v>
      </c>
      <c r="L62" s="310">
        <f>+K62-J62</f>
        <v>0</v>
      </c>
    </row>
    <row r="63" spans="2:12" x14ac:dyDescent="0.25">
      <c r="B63" s="309" t="s">
        <v>937</v>
      </c>
      <c r="C63" s="294"/>
      <c r="D63" s="295">
        <v>0</v>
      </c>
      <c r="E63" s="310"/>
      <c r="G63" s="309" t="s">
        <v>937</v>
      </c>
      <c r="H63" s="294"/>
      <c r="I63" s="294"/>
      <c r="J63" s="295">
        <v>0</v>
      </c>
      <c r="K63" s="295">
        <v>0</v>
      </c>
      <c r="L63" s="310">
        <f>+K63-J63</f>
        <v>0</v>
      </c>
    </row>
    <row r="64" spans="2:12" ht="13" hidden="1" x14ac:dyDescent="0.3">
      <c r="B64" s="309" t="s">
        <v>938</v>
      </c>
      <c r="C64" s="294"/>
      <c r="D64" s="295">
        <v>0</v>
      </c>
      <c r="E64" s="310"/>
      <c r="G64" s="309" t="s">
        <v>938</v>
      </c>
      <c r="H64" s="294"/>
      <c r="I64" s="299"/>
      <c r="J64" s="295">
        <v>0</v>
      </c>
      <c r="K64" s="295">
        <v>0</v>
      </c>
      <c r="L64" s="310">
        <f>+K64-J64</f>
        <v>0</v>
      </c>
    </row>
    <row r="65" spans="2:13" x14ac:dyDescent="0.25">
      <c r="B65" s="309" t="s">
        <v>939</v>
      </c>
      <c r="C65" s="354">
        <v>0</v>
      </c>
      <c r="D65" s="295">
        <f>ROUND((C65/12),0)</f>
        <v>0</v>
      </c>
      <c r="E65" s="310"/>
      <c r="F65" s="169"/>
      <c r="G65" s="309" t="s">
        <v>939</v>
      </c>
      <c r="H65" s="296">
        <v>0</v>
      </c>
      <c r="I65" s="296">
        <v>0</v>
      </c>
      <c r="J65" s="295">
        <f>ROUND((H65/12),0)</f>
        <v>0</v>
      </c>
      <c r="K65" s="295">
        <f>ROUND((I65/12),0)</f>
        <v>0</v>
      </c>
      <c r="L65" s="310">
        <f>ROUND((K65-J65),0)</f>
        <v>0</v>
      </c>
    </row>
    <row r="66" spans="2:13" x14ac:dyDescent="0.25">
      <c r="B66" s="309" t="s">
        <v>965</v>
      </c>
      <c r="C66" s="295">
        <v>0</v>
      </c>
      <c r="D66" s="295">
        <f>ROUND((C66/12),0)</f>
        <v>0</v>
      </c>
      <c r="E66" s="310"/>
      <c r="G66" s="309" t="s">
        <v>966</v>
      </c>
      <c r="H66" s="296">
        <v>0</v>
      </c>
      <c r="I66" s="296">
        <v>0</v>
      </c>
      <c r="J66" s="295">
        <f>ROUND((H66/12),0)</f>
        <v>0</v>
      </c>
      <c r="K66" s="295">
        <f>ROUND((I66/12),0)</f>
        <v>0</v>
      </c>
      <c r="L66" s="310">
        <f>ROUND((K66-J66),0)</f>
        <v>0</v>
      </c>
    </row>
    <row r="67" spans="2:13" ht="14.5" thickBot="1" x14ac:dyDescent="0.35">
      <c r="B67" s="311" t="s">
        <v>967</v>
      </c>
      <c r="C67" s="294"/>
      <c r="D67" s="298">
        <f>ROUND(((D60+D61+D62+D63+D64+D65+D66)/30*D57)/360*360,0)</f>
        <v>0</v>
      </c>
      <c r="E67" s="317"/>
      <c r="F67" s="298">
        <f>ROUND(((D60+D61+D62+D63)/30*D57)/360*360,0)</f>
        <v>0</v>
      </c>
      <c r="G67" s="311" t="s">
        <v>968</v>
      </c>
      <c r="H67" s="294"/>
      <c r="I67" s="297">
        <f>+J57</f>
        <v>12</v>
      </c>
      <c r="J67" s="298">
        <f>ROUND(((J60+J61+J62+J63+J64+J65+J66)/30)/360*360,0)</f>
        <v>0</v>
      </c>
      <c r="K67" s="298">
        <f>ROUND(((K60+K61+K62+K63+K64+K65+K66)/30)/360*360,0)</f>
        <v>0</v>
      </c>
      <c r="L67" s="335">
        <f>ROUND(((L60+L61+L62+L63+L64+L65+L66)/30*J57)/360*0,0)</f>
        <v>0</v>
      </c>
      <c r="M67" s="196"/>
    </row>
    <row r="68" spans="2:13" x14ac:dyDescent="0.25">
      <c r="B68" s="309"/>
      <c r="C68" s="294"/>
      <c r="D68" s="294"/>
      <c r="E68" s="312"/>
      <c r="F68" s="169"/>
      <c r="G68" s="309"/>
      <c r="H68" s="294"/>
      <c r="I68" s="294"/>
      <c r="J68" s="336"/>
      <c r="K68" s="336"/>
      <c r="L68" s="312"/>
    </row>
    <row r="69" spans="2:13" x14ac:dyDescent="0.25">
      <c r="B69" s="309"/>
      <c r="C69" s="294"/>
      <c r="D69" s="294"/>
      <c r="E69" s="312"/>
      <c r="F69" s="169"/>
      <c r="G69" s="309"/>
      <c r="H69" s="294"/>
      <c r="I69" s="294"/>
      <c r="J69" s="480" t="str">
        <f>+J59</f>
        <v>Valor día 2012</v>
      </c>
      <c r="K69" s="480" t="str">
        <f>+K59</f>
        <v>Valor día 2012</v>
      </c>
      <c r="L69" s="482" t="str">
        <f>+L59</f>
        <v>Diferencia</v>
      </c>
    </row>
    <row r="70" spans="2:13" ht="14" x14ac:dyDescent="0.25">
      <c r="B70" s="435" t="s">
        <v>944</v>
      </c>
      <c r="C70" s="437"/>
      <c r="D70" s="294"/>
      <c r="E70" s="312"/>
      <c r="F70" s="169"/>
      <c r="G70" s="435" t="s">
        <v>945</v>
      </c>
      <c r="H70" s="437"/>
      <c r="I70" s="437"/>
      <c r="J70" s="481"/>
      <c r="K70" s="481"/>
      <c r="L70" s="483"/>
    </row>
    <row r="71" spans="2:13" x14ac:dyDescent="0.25">
      <c r="B71" s="309" t="s">
        <v>934</v>
      </c>
      <c r="C71" s="294"/>
      <c r="D71" s="295">
        <f>+D60</f>
        <v>0</v>
      </c>
      <c r="E71" s="310"/>
      <c r="G71" s="309" t="s">
        <v>934</v>
      </c>
      <c r="H71" s="294"/>
      <c r="I71" s="294"/>
      <c r="J71" s="295">
        <f t="shared" ref="J71:K77" si="2">+J60</f>
        <v>0</v>
      </c>
      <c r="K71" s="295">
        <f t="shared" si="2"/>
        <v>0</v>
      </c>
      <c r="L71" s="310">
        <f>+K71-J71</f>
        <v>0</v>
      </c>
    </row>
    <row r="72" spans="2:13" ht="12.75" customHeight="1" x14ac:dyDescent="0.25">
      <c r="B72" s="309" t="s">
        <v>935</v>
      </c>
      <c r="C72" s="294"/>
      <c r="D72" s="295">
        <f>+D61</f>
        <v>0</v>
      </c>
      <c r="E72" s="310"/>
      <c r="G72" s="309" t="s">
        <v>935</v>
      </c>
      <c r="H72" s="294"/>
      <c r="I72" s="294"/>
      <c r="J72" s="295">
        <f t="shared" si="2"/>
        <v>0</v>
      </c>
      <c r="K72" s="295">
        <f t="shared" si="2"/>
        <v>0</v>
      </c>
      <c r="L72" s="310">
        <f t="shared" ref="L72:L77" si="3">+K72-J72</f>
        <v>0</v>
      </c>
    </row>
    <row r="73" spans="2:13" ht="12.75" customHeight="1" x14ac:dyDescent="0.25">
      <c r="B73" s="309" t="s">
        <v>936</v>
      </c>
      <c r="C73" s="294"/>
      <c r="D73" s="295">
        <f>+D62</f>
        <v>0</v>
      </c>
      <c r="E73" s="310"/>
      <c r="G73" s="309" t="s">
        <v>936</v>
      </c>
      <c r="H73" s="294"/>
      <c r="I73" s="294"/>
      <c r="J73" s="295">
        <f t="shared" si="2"/>
        <v>0</v>
      </c>
      <c r="K73" s="295">
        <f t="shared" si="2"/>
        <v>0</v>
      </c>
      <c r="L73" s="310">
        <f t="shared" si="3"/>
        <v>0</v>
      </c>
    </row>
    <row r="74" spans="2:13" ht="12.75" customHeight="1" x14ac:dyDescent="0.25">
      <c r="B74" s="309" t="s">
        <v>937</v>
      </c>
      <c r="C74" s="294"/>
      <c r="D74" s="295">
        <f>+D63</f>
        <v>0</v>
      </c>
      <c r="E74" s="310"/>
      <c r="G74" s="309" t="s">
        <v>937</v>
      </c>
      <c r="H74" s="294"/>
      <c r="I74" s="294"/>
      <c r="J74" s="295">
        <f t="shared" si="2"/>
        <v>0</v>
      </c>
      <c r="K74" s="295">
        <f t="shared" si="2"/>
        <v>0</v>
      </c>
      <c r="L74" s="310">
        <f t="shared" si="3"/>
        <v>0</v>
      </c>
    </row>
    <row r="75" spans="2:13" ht="12.75" customHeight="1" x14ac:dyDescent="0.3">
      <c r="B75" s="309" t="s">
        <v>938</v>
      </c>
      <c r="C75" s="294"/>
      <c r="D75" s="295">
        <f>+D64</f>
        <v>0</v>
      </c>
      <c r="E75" s="310"/>
      <c r="G75" s="309" t="s">
        <v>938</v>
      </c>
      <c r="H75" s="294"/>
      <c r="I75" s="299"/>
      <c r="J75" s="295">
        <f t="shared" si="2"/>
        <v>0</v>
      </c>
      <c r="K75" s="295">
        <f t="shared" si="2"/>
        <v>0</v>
      </c>
      <c r="L75" s="310">
        <f t="shared" si="3"/>
        <v>0</v>
      </c>
    </row>
    <row r="76" spans="2:13" ht="12.75" customHeight="1" x14ac:dyDescent="0.25">
      <c r="B76" s="309" t="str">
        <f>+B65</f>
        <v>1/12 Prima de Servicios Cancelada en Junio 2012</v>
      </c>
      <c r="C76" s="354">
        <f>+C65</f>
        <v>0</v>
      </c>
      <c r="D76" s="295">
        <f>ROUND((D65),0)</f>
        <v>0</v>
      </c>
      <c r="E76" s="310"/>
      <c r="G76" s="309" t="str">
        <f t="shared" ref="G76:I77" si="4">+G65</f>
        <v>1/12 Prima de Servicios Cancelada en Junio 2012</v>
      </c>
      <c r="H76" s="353">
        <f t="shared" si="4"/>
        <v>0</v>
      </c>
      <c r="I76" s="296">
        <f t="shared" si="4"/>
        <v>0</v>
      </c>
      <c r="J76" s="295">
        <f t="shared" si="2"/>
        <v>0</v>
      </c>
      <c r="K76" s="295">
        <f>ROUND((I76/12),0)</f>
        <v>0</v>
      </c>
      <c r="L76" s="310">
        <f t="shared" si="3"/>
        <v>0</v>
      </c>
    </row>
    <row r="77" spans="2:13" x14ac:dyDescent="0.25">
      <c r="B77" s="309" t="str">
        <f>+B66</f>
        <v>1/12 Bonificación Servicios Prestados Cancelada en mayo 2012</v>
      </c>
      <c r="C77" s="295">
        <f>+C66</f>
        <v>0</v>
      </c>
      <c r="D77" s="295">
        <f>ROUND((D66),0)</f>
        <v>0</v>
      </c>
      <c r="E77" s="310"/>
      <c r="G77" s="309" t="str">
        <f t="shared" si="4"/>
        <v>1/12 Bonificación Servicios Prestados Cancelada en Octubre 2011 - 2012</v>
      </c>
      <c r="H77" s="353">
        <f t="shared" si="4"/>
        <v>0</v>
      </c>
      <c r="I77" s="296">
        <f t="shared" si="4"/>
        <v>0</v>
      </c>
      <c r="J77" s="295">
        <f t="shared" si="2"/>
        <v>0</v>
      </c>
      <c r="K77" s="295">
        <f>ROUND((I77/12),0)</f>
        <v>0</v>
      </c>
      <c r="L77" s="310">
        <f t="shared" si="3"/>
        <v>0</v>
      </c>
    </row>
    <row r="78" spans="2:13" ht="14.5" thickBot="1" x14ac:dyDescent="0.35">
      <c r="B78" s="311" t="s">
        <v>946</v>
      </c>
      <c r="C78" s="294"/>
      <c r="D78" s="298">
        <f>ROUND((D71+D72+D73+D74+D75+D76+D77)/2*360/360,0)</f>
        <v>0</v>
      </c>
      <c r="E78" s="317"/>
      <c r="G78" s="311" t="s">
        <v>947</v>
      </c>
      <c r="H78" s="294"/>
      <c r="I78" s="297">
        <v>15</v>
      </c>
      <c r="J78" s="298">
        <f>ROUND((J71+J72+J73+J74+J75+J76+J77)/2*360/360,0)</f>
        <v>0</v>
      </c>
      <c r="K78" s="298">
        <f>ROUND((K71+K72+K73+K74+K75+K76+K77)/2*360/360,0)</f>
        <v>0</v>
      </c>
      <c r="L78" s="337">
        <f>((L71+L72+L73+L74+L75+L76+L77)/30*0)</f>
        <v>0</v>
      </c>
    </row>
    <row r="79" spans="2:13" x14ac:dyDescent="0.25">
      <c r="B79" s="309"/>
      <c r="C79" s="294"/>
      <c r="D79" s="295"/>
      <c r="E79" s="310"/>
      <c r="G79" s="309"/>
      <c r="H79" s="294"/>
      <c r="I79" s="294"/>
      <c r="J79" s="295"/>
      <c r="K79" s="295"/>
      <c r="L79" s="310"/>
    </row>
    <row r="80" spans="2:13" ht="14" x14ac:dyDescent="0.25">
      <c r="B80" s="435" t="s">
        <v>948</v>
      </c>
      <c r="C80" s="437"/>
      <c r="D80" s="295"/>
      <c r="E80" s="310"/>
      <c r="G80" s="435" t="s">
        <v>948</v>
      </c>
      <c r="H80" s="437"/>
      <c r="I80" s="295"/>
      <c r="J80" s="295"/>
      <c r="K80" s="295"/>
      <c r="L80" s="310"/>
    </row>
    <row r="81" spans="2:14" x14ac:dyDescent="0.25">
      <c r="B81" s="309" t="s">
        <v>934</v>
      </c>
      <c r="C81" s="294"/>
      <c r="D81" s="295">
        <f>ROUND((D60),0)</f>
        <v>0</v>
      </c>
      <c r="E81" s="310"/>
      <c r="G81" s="309" t="s">
        <v>934</v>
      </c>
      <c r="H81" s="294"/>
      <c r="J81" s="295">
        <f>+J60</f>
        <v>0</v>
      </c>
      <c r="K81" s="295">
        <f>+K60</f>
        <v>0</v>
      </c>
      <c r="L81" s="310">
        <f>+K81-J81</f>
        <v>0</v>
      </c>
    </row>
    <row r="82" spans="2:14" ht="14.5" thickBot="1" x14ac:dyDescent="0.35">
      <c r="B82" s="311" t="s">
        <v>949</v>
      </c>
      <c r="C82" s="294"/>
      <c r="D82" s="298">
        <f>ROUND(((D81/30)*2),0)</f>
        <v>0</v>
      </c>
      <c r="E82" s="317"/>
      <c r="G82" s="311" t="s">
        <v>949</v>
      </c>
      <c r="H82" s="294"/>
      <c r="J82" s="298">
        <f>ROUND(J81/30*2,0)</f>
        <v>0</v>
      </c>
      <c r="K82" s="298">
        <f>ROUND(K81/30*2,0)</f>
        <v>0</v>
      </c>
      <c r="L82" s="335">
        <f>ROUND(L81/30*2,0)</f>
        <v>0</v>
      </c>
    </row>
    <row r="83" spans="2:14" x14ac:dyDescent="0.25">
      <c r="B83" s="309"/>
      <c r="C83" s="294"/>
      <c r="D83" s="294"/>
      <c r="E83" s="312"/>
      <c r="G83" s="309"/>
      <c r="H83" s="294"/>
      <c r="J83" s="294"/>
      <c r="K83" s="294"/>
      <c r="L83" s="310"/>
    </row>
    <row r="84" spans="2:14" ht="15.5" x14ac:dyDescent="0.35">
      <c r="B84" s="313" t="s">
        <v>950</v>
      </c>
      <c r="C84" s="299"/>
      <c r="D84" s="300">
        <f>D67+D78+D82</f>
        <v>0</v>
      </c>
      <c r="E84" s="318"/>
      <c r="G84" s="313" t="s">
        <v>951</v>
      </c>
      <c r="H84" s="299"/>
      <c r="I84" s="299"/>
      <c r="J84" s="473">
        <f>+L67+L78+L82</f>
        <v>0</v>
      </c>
      <c r="K84" s="473"/>
      <c r="L84" s="474"/>
    </row>
    <row r="85" spans="2:14" ht="13" thickBot="1" x14ac:dyDescent="0.3">
      <c r="B85" s="314"/>
      <c r="C85" s="315"/>
      <c r="D85" s="315"/>
      <c r="E85" s="316"/>
      <c r="G85" s="314"/>
      <c r="H85" s="315"/>
      <c r="I85" s="315"/>
      <c r="J85" s="315"/>
      <c r="K85" s="315"/>
      <c r="L85" s="316"/>
    </row>
    <row r="86" spans="2:14" x14ac:dyDescent="0.25">
      <c r="B86" s="173" t="s">
        <v>952</v>
      </c>
      <c r="G86" s="173" t="s">
        <v>952</v>
      </c>
    </row>
    <row r="87" spans="2:14" ht="12.75" customHeight="1" x14ac:dyDescent="0.25">
      <c r="B87" s="173" t="s">
        <v>953</v>
      </c>
      <c r="G87" s="173" t="s">
        <v>953</v>
      </c>
    </row>
    <row r="88" spans="2:14" x14ac:dyDescent="0.25">
      <c r="B88" s="173" t="s">
        <v>912</v>
      </c>
      <c r="G88" s="173" t="s">
        <v>912</v>
      </c>
      <c r="N88" s="336"/>
    </row>
    <row r="89" spans="2:14" x14ac:dyDescent="0.25">
      <c r="B89" s="173"/>
    </row>
    <row r="91" spans="2:14" ht="12.75" customHeight="1" x14ac:dyDescent="0.25">
      <c r="B91" s="456" t="s">
        <v>915</v>
      </c>
      <c r="C91" s="457"/>
      <c r="D91" s="457"/>
      <c r="E91" s="458"/>
      <c r="G91" s="456" t="s">
        <v>969</v>
      </c>
      <c r="H91" s="457"/>
      <c r="I91" s="457"/>
      <c r="J91" s="457"/>
      <c r="K91" s="457"/>
      <c r="L91" s="458"/>
    </row>
    <row r="92" spans="2:14" ht="12.75" customHeight="1" x14ac:dyDescent="0.25">
      <c r="B92" s="459"/>
      <c r="C92" s="460"/>
      <c r="D92" s="460"/>
      <c r="E92" s="461"/>
      <c r="G92" s="459"/>
      <c r="H92" s="460"/>
      <c r="I92" s="460"/>
      <c r="J92" s="460"/>
      <c r="K92" s="460"/>
      <c r="L92" s="461"/>
    </row>
    <row r="93" spans="2:14" ht="12.75" customHeight="1" x14ac:dyDescent="0.25">
      <c r="B93" s="459"/>
      <c r="C93" s="460"/>
      <c r="D93" s="460"/>
      <c r="E93" s="461"/>
      <c r="G93" s="459"/>
      <c r="H93" s="460"/>
      <c r="I93" s="460"/>
      <c r="J93" s="460"/>
      <c r="K93" s="460"/>
      <c r="L93" s="461"/>
    </row>
    <row r="94" spans="2:14" ht="12.75" customHeight="1" x14ac:dyDescent="0.25">
      <c r="B94" s="459"/>
      <c r="C94" s="460"/>
      <c r="D94" s="460"/>
      <c r="E94" s="461"/>
      <c r="G94" s="459"/>
      <c r="H94" s="460"/>
      <c r="I94" s="460"/>
      <c r="J94" s="460"/>
      <c r="K94" s="460"/>
      <c r="L94" s="461"/>
    </row>
    <row r="95" spans="2:14" ht="12.75" customHeight="1" x14ac:dyDescent="0.25">
      <c r="B95" s="459"/>
      <c r="C95" s="460"/>
      <c r="D95" s="460"/>
      <c r="E95" s="461"/>
      <c r="G95" s="459"/>
      <c r="H95" s="460"/>
      <c r="I95" s="460"/>
      <c r="J95" s="460"/>
      <c r="K95" s="460"/>
      <c r="L95" s="461"/>
    </row>
    <row r="96" spans="2:14" ht="12.75" customHeight="1" x14ac:dyDescent="0.25">
      <c r="B96" s="459"/>
      <c r="C96" s="460"/>
      <c r="D96" s="460"/>
      <c r="E96" s="461"/>
      <c r="G96" s="459"/>
      <c r="H96" s="460"/>
      <c r="I96" s="460"/>
      <c r="J96" s="460"/>
      <c r="K96" s="460"/>
      <c r="L96" s="461"/>
    </row>
    <row r="97" spans="2:12" ht="15.75" customHeight="1" x14ac:dyDescent="0.35">
      <c r="B97" s="465" t="s">
        <v>955</v>
      </c>
      <c r="C97" s="466"/>
      <c r="D97" s="466"/>
      <c r="E97" s="467"/>
      <c r="G97" s="468" t="s">
        <v>955</v>
      </c>
      <c r="H97" s="469"/>
      <c r="I97" s="469"/>
      <c r="J97" s="469"/>
      <c r="K97" s="469"/>
      <c r="L97" s="470"/>
    </row>
    <row r="98" spans="2:12" ht="15.75" customHeight="1" x14ac:dyDescent="0.35">
      <c r="B98" s="465" t="s">
        <v>970</v>
      </c>
      <c r="C98" s="466"/>
      <c r="D98" s="466"/>
      <c r="E98" s="467"/>
      <c r="G98" s="468" t="s">
        <v>971</v>
      </c>
      <c r="H98" s="469"/>
      <c r="I98" s="469"/>
      <c r="J98" s="469"/>
      <c r="K98" s="469"/>
      <c r="L98" s="470"/>
    </row>
    <row r="99" spans="2:12" ht="12.75" customHeight="1" x14ac:dyDescent="0.25">
      <c r="B99" s="489" t="s">
        <v>972</v>
      </c>
      <c r="C99" s="490"/>
      <c r="D99" s="490"/>
      <c r="E99" s="491"/>
      <c r="G99" s="451" t="s">
        <v>973</v>
      </c>
      <c r="H99" s="452"/>
      <c r="I99" s="452"/>
      <c r="J99" s="452"/>
      <c r="K99" s="452"/>
      <c r="L99" s="453"/>
    </row>
    <row r="100" spans="2:12" ht="12.75" customHeight="1" x14ac:dyDescent="0.25">
      <c r="B100" s="489" t="s">
        <v>974</v>
      </c>
      <c r="C100" s="490"/>
      <c r="D100" s="490"/>
      <c r="E100" s="491"/>
      <c r="G100" s="451" t="s">
        <v>975</v>
      </c>
      <c r="H100" s="452"/>
      <c r="I100" s="452"/>
      <c r="J100" s="452"/>
      <c r="K100" s="452"/>
      <c r="L100" s="453"/>
    </row>
    <row r="101" spans="2:12" ht="12.75" customHeight="1" x14ac:dyDescent="0.25">
      <c r="B101" s="484" t="s">
        <v>976</v>
      </c>
      <c r="C101" s="485"/>
      <c r="D101" s="485"/>
      <c r="E101" s="486"/>
      <c r="G101" s="451" t="s">
        <v>977</v>
      </c>
      <c r="H101" s="452"/>
      <c r="I101" s="452"/>
      <c r="J101" s="452"/>
      <c r="K101" s="452"/>
      <c r="L101" s="453"/>
    </row>
    <row r="102" spans="2:12" ht="12.75" customHeight="1" x14ac:dyDescent="0.25">
      <c r="B102" s="454" t="s">
        <v>978</v>
      </c>
      <c r="C102" s="455"/>
      <c r="D102" s="487">
        <v>25</v>
      </c>
      <c r="E102" s="488"/>
      <c r="G102" s="454" t="s">
        <v>964</v>
      </c>
      <c r="H102" s="455"/>
      <c r="I102" s="455"/>
      <c r="J102" s="471">
        <v>0</v>
      </c>
      <c r="K102" s="471"/>
      <c r="L102" s="472"/>
    </row>
    <row r="103" spans="2:12" ht="12.75" customHeight="1" x14ac:dyDescent="0.25">
      <c r="B103" s="448"/>
      <c r="C103" s="449"/>
      <c r="D103" s="449"/>
      <c r="E103" s="450"/>
      <c r="G103" s="475"/>
      <c r="H103" s="476"/>
      <c r="I103" s="476"/>
      <c r="J103" s="476"/>
      <c r="K103" s="476"/>
      <c r="L103" s="477"/>
    </row>
    <row r="104" spans="2:12" ht="25.5" customHeight="1" x14ac:dyDescent="0.25">
      <c r="B104" s="435" t="s">
        <v>929</v>
      </c>
      <c r="C104" s="436"/>
      <c r="D104" s="294"/>
      <c r="E104" s="312"/>
      <c r="G104" s="478" t="s">
        <v>930</v>
      </c>
      <c r="H104" s="479"/>
      <c r="I104" s="479"/>
      <c r="J104" s="333" t="s">
        <v>979</v>
      </c>
      <c r="K104" s="333" t="s">
        <v>980</v>
      </c>
      <c r="L104" s="334" t="s">
        <v>933</v>
      </c>
    </row>
    <row r="105" spans="2:12" ht="12.75" customHeight="1" x14ac:dyDescent="0.25">
      <c r="B105" s="309" t="s">
        <v>934</v>
      </c>
      <c r="C105" s="294"/>
      <c r="D105" s="295">
        <v>0</v>
      </c>
      <c r="E105" s="310"/>
      <c r="G105" s="309" t="s">
        <v>934</v>
      </c>
      <c r="H105" s="294"/>
      <c r="I105" s="294"/>
      <c r="J105" s="295">
        <v>0</v>
      </c>
      <c r="K105" s="295">
        <v>0</v>
      </c>
      <c r="L105" s="310">
        <f>+K105-J105</f>
        <v>0</v>
      </c>
    </row>
    <row r="106" spans="2:12" ht="12.75" hidden="1" customHeight="1" x14ac:dyDescent="0.25">
      <c r="B106" s="309" t="s">
        <v>935</v>
      </c>
      <c r="C106" s="294"/>
      <c r="D106" s="295">
        <v>0</v>
      </c>
      <c r="E106" s="310"/>
      <c r="G106" s="309" t="s">
        <v>935</v>
      </c>
      <c r="H106" s="294"/>
      <c r="I106" s="294"/>
      <c r="J106" s="295">
        <v>0</v>
      </c>
      <c r="K106" s="295">
        <f>+J106</f>
        <v>0</v>
      </c>
      <c r="L106" s="310">
        <f>+K106-J106</f>
        <v>0</v>
      </c>
    </row>
    <row r="107" spans="2:12" ht="12.75" customHeight="1" x14ac:dyDescent="0.25">
      <c r="B107" s="309" t="s">
        <v>936</v>
      </c>
      <c r="C107" s="294"/>
      <c r="D107" s="295">
        <v>0</v>
      </c>
      <c r="E107" s="310"/>
      <c r="G107" s="309" t="s">
        <v>936</v>
      </c>
      <c r="H107" s="294"/>
      <c r="I107" s="294"/>
      <c r="J107" s="295">
        <f>+J105*40%</f>
        <v>0</v>
      </c>
      <c r="K107" s="295">
        <f>+K105*40%</f>
        <v>0</v>
      </c>
      <c r="L107" s="310">
        <f>+K107-J107</f>
        <v>0</v>
      </c>
    </row>
    <row r="108" spans="2:12" ht="12.75" hidden="1" customHeight="1" x14ac:dyDescent="0.25">
      <c r="B108" s="309" t="s">
        <v>937</v>
      </c>
      <c r="C108" s="294"/>
      <c r="D108" s="295">
        <v>0</v>
      </c>
      <c r="E108" s="310"/>
      <c r="G108" s="309" t="s">
        <v>937</v>
      </c>
      <c r="H108" s="294"/>
      <c r="I108" s="294"/>
      <c r="J108" s="295">
        <v>0</v>
      </c>
      <c r="K108" s="295">
        <v>0</v>
      </c>
      <c r="L108" s="310">
        <f>+K108-J108</f>
        <v>0</v>
      </c>
    </row>
    <row r="109" spans="2:12" ht="12.75" hidden="1" customHeight="1" x14ac:dyDescent="0.3">
      <c r="B109" s="309" t="s">
        <v>938</v>
      </c>
      <c r="C109" s="294"/>
      <c r="D109" s="295">
        <v>0</v>
      </c>
      <c r="E109" s="310"/>
      <c r="G109" s="309" t="s">
        <v>938</v>
      </c>
      <c r="H109" s="294"/>
      <c r="I109" s="299"/>
      <c r="J109" s="295">
        <v>0</v>
      </c>
      <c r="K109" s="295">
        <v>0</v>
      </c>
      <c r="L109" s="310">
        <f>+K109-J109</f>
        <v>0</v>
      </c>
    </row>
    <row r="110" spans="2:12" ht="12.75" customHeight="1" x14ac:dyDescent="0.25">
      <c r="B110" s="309" t="s">
        <v>939</v>
      </c>
      <c r="C110" s="295">
        <v>0</v>
      </c>
      <c r="D110" s="295">
        <f>ROUND((C110/12),0)</f>
        <v>0</v>
      </c>
      <c r="E110" s="310"/>
      <c r="G110" s="309" t="s">
        <v>940</v>
      </c>
      <c r="H110" s="296">
        <v>0</v>
      </c>
      <c r="I110" s="296">
        <v>0</v>
      </c>
      <c r="J110" s="295">
        <f>ROUND((H110/12),0)</f>
        <v>0</v>
      </c>
      <c r="K110" s="295">
        <f>ROUND((I110/12),0)</f>
        <v>0</v>
      </c>
      <c r="L110" s="310">
        <f>ROUND((K110-J110),0)</f>
        <v>0</v>
      </c>
    </row>
    <row r="111" spans="2:12" ht="12.75" customHeight="1" x14ac:dyDescent="0.25">
      <c r="B111" s="370" t="s">
        <v>981</v>
      </c>
      <c r="C111" s="295">
        <v>0</v>
      </c>
      <c r="D111" s="295">
        <f>ROUND((C111/12),0)</f>
        <v>0</v>
      </c>
      <c r="E111" s="310"/>
      <c r="G111" s="309" t="s">
        <v>982</v>
      </c>
      <c r="H111" s="296">
        <v>0</v>
      </c>
      <c r="I111" s="296">
        <v>0</v>
      </c>
      <c r="J111" s="295">
        <f>ROUND((H111/12),0)</f>
        <v>0</v>
      </c>
      <c r="K111" s="295">
        <f>ROUND((I111/12),0)</f>
        <v>0</v>
      </c>
      <c r="L111" s="310">
        <f>ROUND((K111-J111),0)</f>
        <v>0</v>
      </c>
    </row>
    <row r="112" spans="2:12" ht="15.75" customHeight="1" thickBot="1" x14ac:dyDescent="0.35">
      <c r="B112" s="311" t="s">
        <v>983</v>
      </c>
      <c r="C112" s="294"/>
      <c r="D112" s="298">
        <f>ROUND(((D105+D106+D107+D108+D109+D110+D111)/30*D102)/360*360,0)</f>
        <v>0</v>
      </c>
      <c r="E112" s="317"/>
      <c r="F112" s="298">
        <f>ROUND(((D105+D106+D107+D108)/30*D102)/360*360,0)</f>
        <v>0</v>
      </c>
      <c r="G112" s="311" t="s">
        <v>943</v>
      </c>
      <c r="H112" s="294"/>
      <c r="I112" s="297">
        <f>+J102</f>
        <v>0</v>
      </c>
      <c r="J112" s="298">
        <f>ROUND(((J105+J106+J107+J108+J109+J110+J111)/30)/360*360,0)</f>
        <v>0</v>
      </c>
      <c r="K112" s="298">
        <f>ROUND(((K105+K106+K107+K108+K109+K110+K111)/30)/360*360,0)</f>
        <v>0</v>
      </c>
      <c r="L112" s="335">
        <f>ROUND(((L105+L106+L107+L108+L109+L110+L111)/30*J102)/360*360,0)</f>
        <v>0</v>
      </c>
    </row>
    <row r="113" spans="2:12" ht="12.75" customHeight="1" x14ac:dyDescent="0.25">
      <c r="B113" s="309"/>
      <c r="C113" s="294"/>
      <c r="D113" s="294"/>
      <c r="E113" s="312"/>
      <c r="G113" s="309"/>
      <c r="H113" s="294"/>
      <c r="I113" s="294"/>
      <c r="J113" s="336"/>
      <c r="K113" s="336"/>
      <c r="L113" s="312"/>
    </row>
    <row r="114" spans="2:12" ht="12.75" customHeight="1" x14ac:dyDescent="0.25">
      <c r="B114" s="309"/>
      <c r="C114" s="294"/>
      <c r="D114" s="294"/>
      <c r="E114" s="312"/>
      <c r="G114" s="309"/>
      <c r="H114" s="294"/>
      <c r="I114" s="294"/>
      <c r="J114" s="480" t="str">
        <f>+J104</f>
        <v>Valor día 052012</v>
      </c>
      <c r="K114" s="480" t="str">
        <f>+K104</f>
        <v>Valor día 062012</v>
      </c>
      <c r="L114" s="482" t="str">
        <f>+L104</f>
        <v>Diferencia</v>
      </c>
    </row>
    <row r="115" spans="2:12" ht="15" customHeight="1" x14ac:dyDescent="0.25">
      <c r="B115" s="435" t="s">
        <v>944</v>
      </c>
      <c r="C115" s="437"/>
      <c r="D115" s="294"/>
      <c r="E115" s="312"/>
      <c r="G115" s="435" t="s">
        <v>945</v>
      </c>
      <c r="H115" s="437"/>
      <c r="I115" s="437"/>
      <c r="J115" s="481"/>
      <c r="K115" s="481"/>
      <c r="L115" s="483"/>
    </row>
    <row r="116" spans="2:12" ht="12.75" customHeight="1" x14ac:dyDescent="0.25">
      <c r="B116" s="309" t="s">
        <v>934</v>
      </c>
      <c r="C116" s="294"/>
      <c r="D116" s="295">
        <f t="shared" ref="D116:D122" si="5">+D105</f>
        <v>0</v>
      </c>
      <c r="E116" s="310"/>
      <c r="G116" s="309" t="s">
        <v>934</v>
      </c>
      <c r="H116" s="294"/>
      <c r="I116" s="294"/>
      <c r="J116" s="295">
        <f t="shared" ref="J116:K122" si="6">+J105</f>
        <v>0</v>
      </c>
      <c r="K116" s="295">
        <f t="shared" si="6"/>
        <v>0</v>
      </c>
      <c r="L116" s="310">
        <f>+K116-J116</f>
        <v>0</v>
      </c>
    </row>
    <row r="117" spans="2:12" ht="12.75" hidden="1" customHeight="1" x14ac:dyDescent="0.25">
      <c r="B117" s="309" t="s">
        <v>935</v>
      </c>
      <c r="C117" s="294"/>
      <c r="D117" s="295">
        <f t="shared" si="5"/>
        <v>0</v>
      </c>
      <c r="E117" s="310"/>
      <c r="G117" s="309" t="s">
        <v>935</v>
      </c>
      <c r="H117" s="294"/>
      <c r="I117" s="294"/>
      <c r="J117" s="295">
        <f t="shared" si="6"/>
        <v>0</v>
      </c>
      <c r="K117" s="295">
        <f t="shared" si="6"/>
        <v>0</v>
      </c>
      <c r="L117" s="310">
        <f t="shared" ref="L117:L122" si="7">+K117-J117</f>
        <v>0</v>
      </c>
    </row>
    <row r="118" spans="2:12" ht="12.75" customHeight="1" x14ac:dyDescent="0.25">
      <c r="B118" s="309" t="s">
        <v>936</v>
      </c>
      <c r="C118" s="294"/>
      <c r="D118" s="295">
        <f t="shared" si="5"/>
        <v>0</v>
      </c>
      <c r="E118" s="310"/>
      <c r="G118" s="309" t="s">
        <v>936</v>
      </c>
      <c r="H118" s="294"/>
      <c r="I118" s="294"/>
      <c r="J118" s="295">
        <f t="shared" si="6"/>
        <v>0</v>
      </c>
      <c r="K118" s="295">
        <f t="shared" si="6"/>
        <v>0</v>
      </c>
      <c r="L118" s="310">
        <f t="shared" si="7"/>
        <v>0</v>
      </c>
    </row>
    <row r="119" spans="2:12" ht="12.75" hidden="1" customHeight="1" x14ac:dyDescent="0.25">
      <c r="B119" s="309" t="s">
        <v>937</v>
      </c>
      <c r="C119" s="294"/>
      <c r="D119" s="295">
        <f t="shared" si="5"/>
        <v>0</v>
      </c>
      <c r="E119" s="310"/>
      <c r="G119" s="309" t="s">
        <v>937</v>
      </c>
      <c r="H119" s="294"/>
      <c r="I119" s="294"/>
      <c r="J119" s="295">
        <f t="shared" si="6"/>
        <v>0</v>
      </c>
      <c r="K119" s="295">
        <f t="shared" si="6"/>
        <v>0</v>
      </c>
      <c r="L119" s="310">
        <f t="shared" si="7"/>
        <v>0</v>
      </c>
    </row>
    <row r="120" spans="2:12" ht="12.75" hidden="1" customHeight="1" x14ac:dyDescent="0.3">
      <c r="B120" s="309" t="s">
        <v>938</v>
      </c>
      <c r="D120" s="295">
        <f t="shared" si="5"/>
        <v>0</v>
      </c>
      <c r="E120" s="310"/>
      <c r="G120" s="309" t="s">
        <v>938</v>
      </c>
      <c r="H120" s="294"/>
      <c r="I120" s="299"/>
      <c r="J120" s="295">
        <f t="shared" si="6"/>
        <v>0</v>
      </c>
      <c r="K120" s="295">
        <f t="shared" si="6"/>
        <v>0</v>
      </c>
      <c r="L120" s="310">
        <f t="shared" si="7"/>
        <v>0</v>
      </c>
    </row>
    <row r="121" spans="2:12" ht="12.75" customHeight="1" x14ac:dyDescent="0.25">
      <c r="B121" s="309" t="str">
        <f>+B110</f>
        <v>1/12 Prima de Servicios Cancelada en Junio 2012</v>
      </c>
      <c r="C121" s="295">
        <f>+C110</f>
        <v>0</v>
      </c>
      <c r="D121" s="295">
        <f t="shared" si="5"/>
        <v>0</v>
      </c>
      <c r="E121" s="310"/>
      <c r="G121" s="309" t="str">
        <f t="shared" ref="G121:I122" si="8">+G110</f>
        <v>1/12 Prima de Servicios Cancelada en Junio 2011 - 2012</v>
      </c>
      <c r="H121" s="353">
        <f t="shared" si="8"/>
        <v>0</v>
      </c>
      <c r="I121" s="296">
        <f t="shared" si="8"/>
        <v>0</v>
      </c>
      <c r="J121" s="295">
        <f t="shared" si="6"/>
        <v>0</v>
      </c>
      <c r="K121" s="295">
        <f>ROUND((I121/12),0)</f>
        <v>0</v>
      </c>
      <c r="L121" s="310">
        <f t="shared" si="7"/>
        <v>0</v>
      </c>
    </row>
    <row r="122" spans="2:12" ht="12.75" customHeight="1" x14ac:dyDescent="0.25">
      <c r="B122" s="309" t="str">
        <f>+B111</f>
        <v>1/12 Bonificación Servicios Prestados Cancelada en Octubre 2012</v>
      </c>
      <c r="C122" s="295">
        <f>+C111</f>
        <v>0</v>
      </c>
      <c r="D122" s="295">
        <f t="shared" si="5"/>
        <v>0</v>
      </c>
      <c r="E122" s="310"/>
      <c r="G122" s="309" t="str">
        <f t="shared" si="8"/>
        <v xml:space="preserve">1/12 Bonificación Servicios Prestados Cancelada en Septiembre 2011 </v>
      </c>
      <c r="H122" s="353">
        <f t="shared" si="8"/>
        <v>0</v>
      </c>
      <c r="I122" s="296">
        <f t="shared" si="8"/>
        <v>0</v>
      </c>
      <c r="J122" s="295">
        <f t="shared" si="6"/>
        <v>0</v>
      </c>
      <c r="K122" s="295">
        <f>ROUND((I122/12),0)</f>
        <v>0</v>
      </c>
      <c r="L122" s="310">
        <f t="shared" si="7"/>
        <v>0</v>
      </c>
    </row>
    <row r="123" spans="2:12" ht="15.75" customHeight="1" thickBot="1" x14ac:dyDescent="0.35">
      <c r="B123" s="311" t="s">
        <v>946</v>
      </c>
      <c r="C123" s="294"/>
      <c r="D123" s="298">
        <f>ROUND((D116+D117+D118+D119+D120+D121+D122)/2*360/360,0)</f>
        <v>0</v>
      </c>
      <c r="E123" s="317"/>
      <c r="G123" s="311" t="s">
        <v>947</v>
      </c>
      <c r="H123" s="294"/>
      <c r="I123" s="297">
        <v>15</v>
      </c>
      <c r="J123" s="298">
        <f>ROUND((J116+J117+J118+J119+J120+J121+J122)/2*360/360,0)</f>
        <v>0</v>
      </c>
      <c r="K123" s="298">
        <f>ROUND((K116+K117+K118+K119+K120+K121+K122)/2*360/360,0)</f>
        <v>0</v>
      </c>
      <c r="L123" s="337">
        <f>((L116+L117+L118+L119+L120+L121+L122)/30*15)</f>
        <v>0</v>
      </c>
    </row>
    <row r="124" spans="2:12" ht="12.75" customHeight="1" x14ac:dyDescent="0.25">
      <c r="B124" s="309"/>
      <c r="C124" s="294"/>
      <c r="D124" s="295"/>
      <c r="E124" s="310"/>
      <c r="G124" s="309"/>
      <c r="H124" s="294"/>
      <c r="I124" s="294"/>
      <c r="J124" s="295"/>
      <c r="K124" s="295"/>
      <c r="L124" s="310"/>
    </row>
    <row r="125" spans="2:12" ht="15" customHeight="1" x14ac:dyDescent="0.25">
      <c r="B125" s="435" t="s">
        <v>948</v>
      </c>
      <c r="C125" s="437"/>
      <c r="D125" s="295"/>
      <c r="E125" s="310"/>
      <c r="G125" s="435" t="s">
        <v>948</v>
      </c>
      <c r="H125" s="437"/>
      <c r="I125" s="295"/>
      <c r="J125" s="295"/>
      <c r="K125" s="295"/>
      <c r="L125" s="310"/>
    </row>
    <row r="126" spans="2:12" ht="12.75" customHeight="1" x14ac:dyDescent="0.25">
      <c r="B126" s="309" t="s">
        <v>934</v>
      </c>
      <c r="C126" s="294"/>
      <c r="D126" s="295">
        <f>+D105</f>
        <v>0</v>
      </c>
      <c r="E126" s="310"/>
      <c r="G126" s="309" t="s">
        <v>934</v>
      </c>
      <c r="H126" s="294"/>
      <c r="J126" s="295">
        <f>+J105</f>
        <v>0</v>
      </c>
      <c r="K126" s="295">
        <f>+K105</f>
        <v>0</v>
      </c>
      <c r="L126" s="310">
        <f>+K126-J126</f>
        <v>0</v>
      </c>
    </row>
    <row r="127" spans="2:12" ht="15.75" customHeight="1" thickBot="1" x14ac:dyDescent="0.35">
      <c r="B127" s="311" t="s">
        <v>949</v>
      </c>
      <c r="C127" s="294"/>
      <c r="D127" s="298">
        <f>ROUND(D126/30*2,0)</f>
        <v>0</v>
      </c>
      <c r="E127" s="317"/>
      <c r="G127" s="311" t="s">
        <v>949</v>
      </c>
      <c r="H127" s="294"/>
      <c r="J127" s="298">
        <f>ROUND(J126/30*2,0)</f>
        <v>0</v>
      </c>
      <c r="K127" s="298">
        <f>ROUND(K126/30*2,0)</f>
        <v>0</v>
      </c>
      <c r="L127" s="335">
        <f>ROUND(L126/30*2,0)</f>
        <v>0</v>
      </c>
    </row>
    <row r="128" spans="2:12" ht="12.75" customHeight="1" x14ac:dyDescent="0.25">
      <c r="B128" s="309"/>
      <c r="C128" s="294"/>
      <c r="D128" s="294"/>
      <c r="E128" s="312"/>
      <c r="G128" s="309"/>
      <c r="H128" s="294"/>
      <c r="J128" s="294"/>
      <c r="K128" s="294"/>
      <c r="L128" s="310"/>
    </row>
    <row r="129" spans="2:12" ht="15.75" customHeight="1" x14ac:dyDescent="0.35">
      <c r="B129" s="313" t="s">
        <v>950</v>
      </c>
      <c r="C129" s="299"/>
      <c r="D129" s="300">
        <f>D112+D123+D127</f>
        <v>0</v>
      </c>
      <c r="E129" s="318"/>
      <c r="G129" s="313" t="s">
        <v>951</v>
      </c>
      <c r="H129" s="299"/>
      <c r="I129" s="299"/>
      <c r="J129" s="473">
        <f>+L112+L123+L127</f>
        <v>0</v>
      </c>
      <c r="K129" s="473"/>
      <c r="L129" s="474"/>
    </row>
    <row r="130" spans="2:12" ht="13.5" customHeight="1" thickBot="1" x14ac:dyDescent="0.3">
      <c r="B130" s="314"/>
      <c r="C130" s="315"/>
      <c r="D130" s="315"/>
      <c r="E130" s="316"/>
      <c r="G130" s="314"/>
      <c r="H130" s="315"/>
      <c r="I130" s="315"/>
      <c r="J130" s="315"/>
      <c r="K130" s="315"/>
      <c r="L130" s="316"/>
    </row>
    <row r="131" spans="2:12" ht="12.75" customHeight="1" x14ac:dyDescent="0.25">
      <c r="B131" s="173" t="s">
        <v>952</v>
      </c>
      <c r="G131" s="173" t="s">
        <v>952</v>
      </c>
    </row>
    <row r="132" spans="2:12" ht="12.75" customHeight="1" x14ac:dyDescent="0.25">
      <c r="B132" s="173" t="s">
        <v>953</v>
      </c>
      <c r="G132" s="173" t="s">
        <v>953</v>
      </c>
    </row>
    <row r="133" spans="2:12" ht="12.75" customHeight="1" x14ac:dyDescent="0.25">
      <c r="B133" s="173" t="s">
        <v>912</v>
      </c>
      <c r="G133" s="173" t="s">
        <v>984</v>
      </c>
    </row>
    <row r="134" spans="2:12" ht="13.5" customHeight="1" thickBot="1" x14ac:dyDescent="0.3">
      <c r="B134" s="173"/>
    </row>
    <row r="135" spans="2:12" ht="12.75" customHeight="1" x14ac:dyDescent="0.25">
      <c r="B135" s="456" t="s">
        <v>915</v>
      </c>
      <c r="C135" s="457"/>
      <c r="D135" s="457"/>
      <c r="E135" s="458"/>
    </row>
    <row r="136" spans="2:12" ht="12.75" customHeight="1" x14ac:dyDescent="0.25">
      <c r="B136" s="459"/>
      <c r="C136" s="460"/>
      <c r="D136" s="460"/>
      <c r="E136" s="461"/>
    </row>
    <row r="137" spans="2:12" ht="12.75" customHeight="1" x14ac:dyDescent="0.25">
      <c r="B137" s="459"/>
      <c r="C137" s="460"/>
      <c r="D137" s="460"/>
      <c r="E137" s="461"/>
      <c r="J137" s="196"/>
    </row>
    <row r="138" spans="2:12" ht="12.75" customHeight="1" x14ac:dyDescent="0.25">
      <c r="B138" s="459"/>
      <c r="C138" s="460"/>
      <c r="D138" s="460"/>
      <c r="E138" s="461"/>
    </row>
    <row r="139" spans="2:12" ht="12.75" customHeight="1" x14ac:dyDescent="0.25">
      <c r="B139" s="459"/>
      <c r="C139" s="460"/>
      <c r="D139" s="460"/>
      <c r="E139" s="461"/>
    </row>
    <row r="140" spans="2:12" ht="12.75" customHeight="1" x14ac:dyDescent="0.25">
      <c r="B140" s="459"/>
      <c r="C140" s="460"/>
      <c r="D140" s="460"/>
      <c r="E140" s="461"/>
    </row>
    <row r="141" spans="2:12" ht="15.75" customHeight="1" x14ac:dyDescent="0.35">
      <c r="B141" s="465" t="s">
        <v>955</v>
      </c>
      <c r="C141" s="466"/>
      <c r="D141" s="466"/>
      <c r="E141" s="467"/>
    </row>
    <row r="142" spans="2:12" ht="15.75" customHeight="1" x14ac:dyDescent="0.35">
      <c r="B142" s="465" t="s">
        <v>985</v>
      </c>
      <c r="C142" s="466"/>
      <c r="D142" s="466"/>
      <c r="E142" s="467"/>
    </row>
    <row r="143" spans="2:12" ht="12.75" customHeight="1" x14ac:dyDescent="0.25">
      <c r="B143" s="489" t="s">
        <v>986</v>
      </c>
      <c r="C143" s="490"/>
      <c r="D143" s="490"/>
      <c r="E143" s="491"/>
    </row>
    <row r="144" spans="2:12" ht="12.75" customHeight="1" x14ac:dyDescent="0.25">
      <c r="B144" s="489" t="s">
        <v>987</v>
      </c>
      <c r="C144" s="490"/>
      <c r="D144" s="490"/>
      <c r="E144" s="491"/>
    </row>
    <row r="145" spans="2:7" ht="12.75" customHeight="1" x14ac:dyDescent="0.25">
      <c r="B145" s="484" t="s">
        <v>988</v>
      </c>
      <c r="C145" s="485"/>
      <c r="D145" s="485"/>
      <c r="E145" s="486"/>
    </row>
    <row r="146" spans="2:7" ht="12.75" customHeight="1" x14ac:dyDescent="0.25">
      <c r="B146" s="454" t="s">
        <v>978</v>
      </c>
      <c r="C146" s="455"/>
      <c r="D146" s="487">
        <v>21</v>
      </c>
      <c r="E146" s="488"/>
    </row>
    <row r="147" spans="2:7" ht="12.75" customHeight="1" x14ac:dyDescent="0.25">
      <c r="B147" s="501"/>
      <c r="C147" s="502"/>
      <c r="D147" s="502"/>
      <c r="E147" s="503"/>
    </row>
    <row r="148" spans="2:7" ht="15" customHeight="1" x14ac:dyDescent="0.25">
      <c r="B148" s="435" t="s">
        <v>929</v>
      </c>
      <c r="C148" s="436"/>
      <c r="D148" s="294"/>
      <c r="E148" s="312"/>
    </row>
    <row r="149" spans="2:7" ht="12.75" customHeight="1" x14ac:dyDescent="0.25">
      <c r="B149" s="309" t="s">
        <v>934</v>
      </c>
      <c r="C149" s="294"/>
      <c r="D149" s="295">
        <v>0</v>
      </c>
      <c r="E149" s="310"/>
      <c r="G149" s="196"/>
    </row>
    <row r="150" spans="2:7" ht="12.75" hidden="1" customHeight="1" x14ac:dyDescent="0.25">
      <c r="B150" s="309" t="s">
        <v>935</v>
      </c>
      <c r="C150" s="294"/>
      <c r="D150" s="295">
        <v>0</v>
      </c>
      <c r="E150" s="310"/>
      <c r="G150" s="196"/>
    </row>
    <row r="151" spans="2:7" ht="12.75" hidden="1" customHeight="1" x14ac:dyDescent="0.25">
      <c r="B151" s="309" t="s">
        <v>936</v>
      </c>
      <c r="C151" s="294"/>
      <c r="D151" s="295">
        <v>0</v>
      </c>
      <c r="E151" s="310"/>
      <c r="G151" s="196"/>
    </row>
    <row r="152" spans="2:7" ht="12.75" hidden="1" customHeight="1" x14ac:dyDescent="0.25">
      <c r="B152" s="309" t="s">
        <v>937</v>
      </c>
      <c r="C152" s="294"/>
      <c r="D152" s="295">
        <v>0</v>
      </c>
      <c r="E152" s="310"/>
      <c r="G152" s="196"/>
    </row>
    <row r="153" spans="2:7" ht="12.75" hidden="1" customHeight="1" x14ac:dyDescent="0.25">
      <c r="B153" s="309" t="s">
        <v>938</v>
      </c>
      <c r="C153" s="294"/>
      <c r="D153" s="295">
        <v>0</v>
      </c>
      <c r="E153" s="310"/>
    </row>
    <row r="154" spans="2:7" ht="12.75" customHeight="1" x14ac:dyDescent="0.25">
      <c r="B154" s="309" t="s">
        <v>939</v>
      </c>
      <c r="C154" s="295">
        <v>0</v>
      </c>
      <c r="D154" s="295">
        <f>ROUND((C154/12),0)</f>
        <v>0</v>
      </c>
      <c r="E154" s="310"/>
      <c r="G154" s="196"/>
    </row>
    <row r="155" spans="2:7" ht="12.75" customHeight="1" x14ac:dyDescent="0.25">
      <c r="B155" s="309" t="s">
        <v>989</v>
      </c>
      <c r="C155" s="295">
        <v>0</v>
      </c>
      <c r="D155" s="295">
        <f>ROUND((C155/12),0)</f>
        <v>0</v>
      </c>
      <c r="E155" s="310"/>
      <c r="G155" s="196"/>
    </row>
    <row r="156" spans="2:7" ht="15.75" customHeight="1" thickBot="1" x14ac:dyDescent="0.35">
      <c r="B156" s="311" t="s">
        <v>990</v>
      </c>
      <c r="C156" s="294"/>
      <c r="D156" s="298">
        <f>ROUND(((D149+D150+D151+D152+D153+D154+D155)/30*D146)/360*360,0)</f>
        <v>0</v>
      </c>
      <c r="E156" s="317"/>
      <c r="F156" s="298">
        <f>ROUND(((D149+D150+D151+D152)/30*D146)/360*360,0)</f>
        <v>0</v>
      </c>
    </row>
    <row r="157" spans="2:7" ht="12.75" customHeight="1" x14ac:dyDescent="0.25">
      <c r="B157" s="309"/>
      <c r="C157" s="294"/>
      <c r="D157" s="294"/>
      <c r="E157" s="312"/>
    </row>
    <row r="158" spans="2:7" ht="12.75" customHeight="1" x14ac:dyDescent="0.25">
      <c r="B158" s="309"/>
      <c r="C158" s="294"/>
      <c r="D158" s="294"/>
      <c r="E158" s="312"/>
    </row>
    <row r="159" spans="2:7" ht="15" customHeight="1" x14ac:dyDescent="0.25">
      <c r="B159" s="435" t="s">
        <v>944</v>
      </c>
      <c r="C159" s="437"/>
      <c r="D159" s="294"/>
      <c r="E159" s="312"/>
    </row>
    <row r="160" spans="2:7" ht="12.75" customHeight="1" x14ac:dyDescent="0.25">
      <c r="B160" s="309" t="s">
        <v>934</v>
      </c>
      <c r="C160" s="294"/>
      <c r="D160" s="295">
        <f t="shared" ref="D160:D166" si="9">+D149</f>
        <v>0</v>
      </c>
      <c r="E160" s="310"/>
    </row>
    <row r="161" spans="2:5" ht="12.75" hidden="1" customHeight="1" x14ac:dyDescent="0.25">
      <c r="B161" s="309" t="s">
        <v>935</v>
      </c>
      <c r="C161" s="294"/>
      <c r="D161" s="295">
        <f t="shared" si="9"/>
        <v>0</v>
      </c>
      <c r="E161" s="310"/>
    </row>
    <row r="162" spans="2:5" ht="12.75" hidden="1" customHeight="1" x14ac:dyDescent="0.25">
      <c r="B162" s="309" t="s">
        <v>936</v>
      </c>
      <c r="C162" s="294"/>
      <c r="D162" s="295">
        <f t="shared" si="9"/>
        <v>0</v>
      </c>
      <c r="E162" s="310"/>
    </row>
    <row r="163" spans="2:5" ht="12.75" hidden="1" customHeight="1" x14ac:dyDescent="0.25">
      <c r="B163" s="309" t="s">
        <v>937</v>
      </c>
      <c r="C163" s="294"/>
      <c r="D163" s="295">
        <f t="shared" si="9"/>
        <v>0</v>
      </c>
      <c r="E163" s="310"/>
    </row>
    <row r="164" spans="2:5" ht="12.75" hidden="1" customHeight="1" x14ac:dyDescent="0.25">
      <c r="B164" s="309" t="s">
        <v>938</v>
      </c>
      <c r="C164" s="294"/>
      <c r="D164" s="295">
        <f t="shared" si="9"/>
        <v>0</v>
      </c>
      <c r="E164" s="310"/>
    </row>
    <row r="165" spans="2:5" ht="12.75" customHeight="1" x14ac:dyDescent="0.25">
      <c r="B165" s="309" t="str">
        <f>+B154</f>
        <v>1/12 Prima de Servicios Cancelada en Junio 2012</v>
      </c>
      <c r="C165" s="295">
        <f>+C154</f>
        <v>0</v>
      </c>
      <c r="D165" s="295">
        <f t="shared" si="9"/>
        <v>0</v>
      </c>
      <c r="E165" s="310"/>
    </row>
    <row r="166" spans="2:5" ht="12.75" customHeight="1" x14ac:dyDescent="0.25">
      <c r="B166" s="309" t="str">
        <f>+B155</f>
        <v>1/12 Bonificación Servicios Prestados Cancelada en Septiembre 2012</v>
      </c>
      <c r="C166" s="295">
        <f>+C155</f>
        <v>0</v>
      </c>
      <c r="D166" s="295">
        <f t="shared" si="9"/>
        <v>0</v>
      </c>
      <c r="E166" s="310"/>
    </row>
    <row r="167" spans="2:5" ht="15.75" customHeight="1" thickBot="1" x14ac:dyDescent="0.35">
      <c r="B167" s="311" t="s">
        <v>946</v>
      </c>
      <c r="C167" s="294"/>
      <c r="D167" s="298">
        <f>ROUND((D160+D161+D162+D163+D164+D165+D166)/2*360/360,0)</f>
        <v>0</v>
      </c>
      <c r="E167" s="317"/>
    </row>
    <row r="168" spans="2:5" ht="12.75" customHeight="1" x14ac:dyDescent="0.25">
      <c r="B168" s="309"/>
      <c r="C168" s="294"/>
      <c r="D168" s="295"/>
      <c r="E168" s="310"/>
    </row>
    <row r="169" spans="2:5" ht="15" customHeight="1" x14ac:dyDescent="0.25">
      <c r="B169" s="435" t="s">
        <v>948</v>
      </c>
      <c r="C169" s="437"/>
      <c r="D169" s="295"/>
      <c r="E169" s="310"/>
    </row>
    <row r="170" spans="2:5" ht="12.75" customHeight="1" x14ac:dyDescent="0.25">
      <c r="B170" s="309" t="s">
        <v>934</v>
      </c>
      <c r="C170" s="294"/>
      <c r="D170" s="295">
        <f>+D149</f>
        <v>0</v>
      </c>
      <c r="E170" s="310"/>
    </row>
    <row r="171" spans="2:5" ht="15.75" customHeight="1" thickBot="1" x14ac:dyDescent="0.35">
      <c r="B171" s="311" t="s">
        <v>949</v>
      </c>
      <c r="C171" s="294"/>
      <c r="D171" s="298">
        <f>ROUND(D170/30*2,0)</f>
        <v>0</v>
      </c>
      <c r="E171" s="317"/>
    </row>
    <row r="172" spans="2:5" ht="12.75" customHeight="1" x14ac:dyDescent="0.25">
      <c r="B172" s="309"/>
      <c r="C172" s="294"/>
      <c r="D172" s="294"/>
      <c r="E172" s="312"/>
    </row>
    <row r="173" spans="2:5" ht="15.75" customHeight="1" x14ac:dyDescent="0.35">
      <c r="B173" s="313" t="s">
        <v>950</v>
      </c>
      <c r="C173" s="299"/>
      <c r="D173" s="300">
        <f>D156+D167+D171</f>
        <v>0</v>
      </c>
      <c r="E173" s="318"/>
    </row>
    <row r="174" spans="2:5" ht="13.5" customHeight="1" thickBot="1" x14ac:dyDescent="0.3">
      <c r="B174" s="314"/>
      <c r="C174" s="315"/>
      <c r="D174" s="315"/>
      <c r="E174" s="316"/>
    </row>
    <row r="175" spans="2:5" ht="12.75" customHeight="1" x14ac:dyDescent="0.25">
      <c r="B175" s="173" t="s">
        <v>952</v>
      </c>
    </row>
    <row r="176" spans="2:5" ht="12.75" customHeight="1" x14ac:dyDescent="0.25">
      <c r="B176" s="173" t="s">
        <v>953</v>
      </c>
    </row>
    <row r="177" spans="2:5" ht="12.75" customHeight="1" x14ac:dyDescent="0.25">
      <c r="B177" s="173" t="s">
        <v>912</v>
      </c>
    </row>
    <row r="178" spans="2:5" ht="12.75" customHeight="1" thickBot="1" x14ac:dyDescent="0.3">
      <c r="B178" s="173"/>
    </row>
    <row r="179" spans="2:5" ht="12.75" customHeight="1" x14ac:dyDescent="0.25">
      <c r="B179" s="456" t="s">
        <v>915</v>
      </c>
      <c r="C179" s="457"/>
      <c r="D179" s="457"/>
      <c r="E179" s="458"/>
    </row>
    <row r="180" spans="2:5" ht="12.75" customHeight="1" x14ac:dyDescent="0.25">
      <c r="B180" s="459"/>
      <c r="C180" s="460"/>
      <c r="D180" s="460"/>
      <c r="E180" s="461"/>
    </row>
    <row r="181" spans="2:5" ht="12.75" customHeight="1" x14ac:dyDescent="0.25">
      <c r="B181" s="459"/>
      <c r="C181" s="460"/>
      <c r="D181" s="460"/>
      <c r="E181" s="461"/>
    </row>
    <row r="182" spans="2:5" ht="12.75" customHeight="1" x14ac:dyDescent="0.25">
      <c r="B182" s="459"/>
      <c r="C182" s="460"/>
      <c r="D182" s="460"/>
      <c r="E182" s="461"/>
    </row>
    <row r="183" spans="2:5" ht="12.75" customHeight="1" x14ac:dyDescent="0.25">
      <c r="B183" s="459"/>
      <c r="C183" s="460"/>
      <c r="D183" s="460"/>
      <c r="E183" s="461"/>
    </row>
    <row r="184" spans="2:5" ht="12.75" customHeight="1" x14ac:dyDescent="0.25">
      <c r="B184" s="459"/>
      <c r="C184" s="460"/>
      <c r="D184" s="460"/>
      <c r="E184" s="461"/>
    </row>
    <row r="185" spans="2:5" ht="15.75" customHeight="1" x14ac:dyDescent="0.35">
      <c r="B185" s="465" t="s">
        <v>955</v>
      </c>
      <c r="C185" s="466"/>
      <c r="D185" s="466"/>
      <c r="E185" s="467"/>
    </row>
    <row r="186" spans="2:5" ht="15.75" customHeight="1" x14ac:dyDescent="0.35">
      <c r="B186" s="465" t="s">
        <v>991</v>
      </c>
      <c r="C186" s="466"/>
      <c r="D186" s="466"/>
      <c r="E186" s="467"/>
    </row>
    <row r="187" spans="2:5" ht="12.75" customHeight="1" x14ac:dyDescent="0.25">
      <c r="B187" s="489" t="s">
        <v>992</v>
      </c>
      <c r="C187" s="490"/>
      <c r="D187" s="490"/>
      <c r="E187" s="491"/>
    </row>
    <row r="188" spans="2:5" ht="12.75" customHeight="1" x14ac:dyDescent="0.25">
      <c r="B188" s="489" t="s">
        <v>993</v>
      </c>
      <c r="C188" s="490"/>
      <c r="D188" s="490"/>
      <c r="E188" s="491"/>
    </row>
    <row r="189" spans="2:5" ht="12.75" customHeight="1" x14ac:dyDescent="0.25">
      <c r="B189" s="484" t="s">
        <v>925</v>
      </c>
      <c r="C189" s="485"/>
      <c r="D189" s="485"/>
      <c r="E189" s="486"/>
    </row>
    <row r="190" spans="2:5" ht="12.75" customHeight="1" x14ac:dyDescent="0.25">
      <c r="B190" s="454" t="s">
        <v>994</v>
      </c>
      <c r="C190" s="455"/>
      <c r="D190" s="487">
        <v>22</v>
      </c>
      <c r="E190" s="488"/>
    </row>
    <row r="191" spans="2:5" ht="12.75" customHeight="1" x14ac:dyDescent="0.25">
      <c r="B191" s="448"/>
      <c r="C191" s="449"/>
      <c r="D191" s="449"/>
      <c r="E191" s="450"/>
    </row>
    <row r="192" spans="2:5" ht="15" customHeight="1" x14ac:dyDescent="0.25">
      <c r="B192" s="435" t="s">
        <v>929</v>
      </c>
      <c r="C192" s="436"/>
      <c r="D192" s="294"/>
      <c r="E192" s="312"/>
    </row>
    <row r="193" spans="2:6" ht="12.75" customHeight="1" x14ac:dyDescent="0.25">
      <c r="B193" s="309" t="s">
        <v>934</v>
      </c>
      <c r="C193" s="294"/>
      <c r="D193" s="295">
        <v>0</v>
      </c>
      <c r="E193" s="310"/>
    </row>
    <row r="194" spans="2:6" ht="12.75" hidden="1" customHeight="1" x14ac:dyDescent="0.25">
      <c r="B194" s="309" t="s">
        <v>935</v>
      </c>
      <c r="C194" s="294"/>
      <c r="D194" s="295">
        <v>0</v>
      </c>
      <c r="E194" s="310"/>
    </row>
    <row r="195" spans="2:6" ht="12.75" hidden="1" customHeight="1" x14ac:dyDescent="0.25">
      <c r="B195" s="309" t="s">
        <v>936</v>
      </c>
      <c r="C195" s="294"/>
      <c r="D195" s="295">
        <v>0</v>
      </c>
      <c r="E195" s="310"/>
    </row>
    <row r="196" spans="2:6" ht="12.75" hidden="1" customHeight="1" x14ac:dyDescent="0.25">
      <c r="B196" s="309" t="s">
        <v>937</v>
      </c>
      <c r="C196" s="294"/>
      <c r="D196" s="295">
        <v>0</v>
      </c>
      <c r="E196" s="310"/>
    </row>
    <row r="197" spans="2:6" ht="12.75" hidden="1" customHeight="1" x14ac:dyDescent="0.25">
      <c r="B197" s="309" t="s">
        <v>938</v>
      </c>
      <c r="C197" s="294"/>
      <c r="D197" s="295">
        <v>0</v>
      </c>
      <c r="E197" s="310"/>
    </row>
    <row r="198" spans="2:6" ht="12.75" customHeight="1" x14ac:dyDescent="0.25">
      <c r="B198" s="309" t="s">
        <v>939</v>
      </c>
      <c r="C198" s="295">
        <v>0</v>
      </c>
      <c r="D198" s="295">
        <f>C198/12</f>
        <v>0</v>
      </c>
      <c r="E198" s="310"/>
    </row>
    <row r="199" spans="2:6" ht="12.75" customHeight="1" x14ac:dyDescent="0.25">
      <c r="B199" s="309" t="s">
        <v>981</v>
      </c>
      <c r="C199" s="295">
        <v>0</v>
      </c>
      <c r="D199" s="295">
        <f>C199/12</f>
        <v>0</v>
      </c>
      <c r="E199" s="310"/>
    </row>
    <row r="200" spans="2:6" ht="15.75" customHeight="1" thickBot="1" x14ac:dyDescent="0.35">
      <c r="B200" s="311" t="s">
        <v>967</v>
      </c>
      <c r="C200" s="294"/>
      <c r="D200" s="298">
        <f>ROUND(((D193+D194+D195+D196+D197+D198+D199)/30*D190)/360*360,0)</f>
        <v>0</v>
      </c>
      <c r="E200" s="317"/>
      <c r="F200" s="298">
        <f>ROUND(((D193+D194+D195+D196)/30*D190)/360*360,0)</f>
        <v>0</v>
      </c>
    </row>
    <row r="201" spans="2:6" ht="12.75" customHeight="1" x14ac:dyDescent="0.25">
      <c r="B201" s="309"/>
      <c r="C201" s="294"/>
      <c r="D201" s="294"/>
      <c r="E201" s="312"/>
    </row>
    <row r="202" spans="2:6" ht="12.75" customHeight="1" x14ac:dyDescent="0.25">
      <c r="B202" s="309"/>
      <c r="C202" s="294"/>
      <c r="D202" s="294"/>
      <c r="E202" s="312"/>
    </row>
    <row r="203" spans="2:6" ht="15" customHeight="1" x14ac:dyDescent="0.25">
      <c r="B203" s="435" t="s">
        <v>944</v>
      </c>
      <c r="C203" s="437"/>
      <c r="D203" s="294"/>
      <c r="E203" s="312"/>
    </row>
    <row r="204" spans="2:6" ht="12.75" customHeight="1" x14ac:dyDescent="0.25">
      <c r="B204" s="309" t="s">
        <v>934</v>
      </c>
      <c r="C204" s="294"/>
      <c r="D204" s="295">
        <f t="shared" ref="D204:D210" si="10">+D193</f>
        <v>0</v>
      </c>
      <c r="E204" s="310"/>
    </row>
    <row r="205" spans="2:6" ht="12.75" hidden="1" customHeight="1" x14ac:dyDescent="0.25">
      <c r="B205" s="309" t="s">
        <v>935</v>
      </c>
      <c r="C205" s="294"/>
      <c r="D205" s="295">
        <f t="shared" si="10"/>
        <v>0</v>
      </c>
      <c r="E205" s="310"/>
    </row>
    <row r="206" spans="2:6" ht="12.75" hidden="1" customHeight="1" x14ac:dyDescent="0.25">
      <c r="B206" s="309" t="s">
        <v>936</v>
      </c>
      <c r="C206" s="294"/>
      <c r="D206" s="295">
        <f t="shared" si="10"/>
        <v>0</v>
      </c>
      <c r="E206" s="310"/>
    </row>
    <row r="207" spans="2:6" ht="12.75" hidden="1" customHeight="1" x14ac:dyDescent="0.25">
      <c r="B207" s="309" t="s">
        <v>937</v>
      </c>
      <c r="C207" s="294"/>
      <c r="D207" s="295">
        <f t="shared" si="10"/>
        <v>0</v>
      </c>
      <c r="E207" s="310"/>
    </row>
    <row r="208" spans="2:6" ht="12.75" hidden="1" customHeight="1" x14ac:dyDescent="0.25">
      <c r="B208" s="309" t="s">
        <v>938</v>
      </c>
      <c r="C208" s="294"/>
      <c r="D208" s="295">
        <f t="shared" si="10"/>
        <v>0</v>
      </c>
      <c r="E208" s="310"/>
    </row>
    <row r="209" spans="2:6" ht="12.75" customHeight="1" x14ac:dyDescent="0.25">
      <c r="B209" s="309" t="str">
        <f>+B198</f>
        <v>1/12 Prima de Servicios Cancelada en Junio 2012</v>
      </c>
      <c r="C209" s="295">
        <f>+C198</f>
        <v>0</v>
      </c>
      <c r="D209" s="295">
        <f t="shared" si="10"/>
        <v>0</v>
      </c>
      <c r="E209" s="310"/>
    </row>
    <row r="210" spans="2:6" ht="12.75" customHeight="1" x14ac:dyDescent="0.25">
      <c r="B210" s="309" t="str">
        <f>+B199</f>
        <v>1/12 Bonificación Servicios Prestados Cancelada en Octubre 2012</v>
      </c>
      <c r="C210" s="295">
        <f>+C199</f>
        <v>0</v>
      </c>
      <c r="D210" s="295">
        <f t="shared" si="10"/>
        <v>0</v>
      </c>
      <c r="E210" s="310"/>
    </row>
    <row r="211" spans="2:6" ht="15.75" customHeight="1" thickBot="1" x14ac:dyDescent="0.35">
      <c r="B211" s="311" t="s">
        <v>946</v>
      </c>
      <c r="C211" s="294"/>
      <c r="D211" s="298">
        <f>ROUND((D204+D205+D206+D207+D208+D209+D210)/2*360/360,0)</f>
        <v>0</v>
      </c>
      <c r="E211" s="317"/>
      <c r="F211" s="169"/>
    </row>
    <row r="212" spans="2:6" ht="12.75" customHeight="1" x14ac:dyDescent="0.25">
      <c r="B212" s="309"/>
      <c r="C212" s="294"/>
      <c r="D212" s="295"/>
      <c r="E212" s="310"/>
    </row>
    <row r="213" spans="2:6" ht="15" customHeight="1" x14ac:dyDescent="0.25">
      <c r="B213" s="435" t="s">
        <v>948</v>
      </c>
      <c r="C213" s="437"/>
      <c r="D213" s="295"/>
      <c r="E213" s="310"/>
    </row>
    <row r="214" spans="2:6" ht="12.75" customHeight="1" x14ac:dyDescent="0.25">
      <c r="B214" s="309" t="s">
        <v>934</v>
      </c>
      <c r="C214" s="294"/>
      <c r="D214" s="295">
        <f>+D193</f>
        <v>0</v>
      </c>
      <c r="E214" s="310"/>
    </row>
    <row r="215" spans="2:6" ht="15.75" customHeight="1" thickBot="1" x14ac:dyDescent="0.35">
      <c r="B215" s="311" t="s">
        <v>949</v>
      </c>
      <c r="C215" s="294"/>
      <c r="D215" s="298">
        <f>ROUND(D214/30*2,0)</f>
        <v>0</v>
      </c>
      <c r="E215" s="317"/>
    </row>
    <row r="216" spans="2:6" ht="12.75" customHeight="1" x14ac:dyDescent="0.25">
      <c r="B216" s="309"/>
      <c r="C216" s="294"/>
      <c r="D216" s="294"/>
      <c r="E216" s="312"/>
    </row>
    <row r="217" spans="2:6" ht="15.75" customHeight="1" x14ac:dyDescent="0.35">
      <c r="B217" s="313" t="s">
        <v>950</v>
      </c>
      <c r="C217" s="299"/>
      <c r="D217" s="300">
        <f>D200+D211+D215</f>
        <v>0</v>
      </c>
      <c r="E217" s="318"/>
    </row>
    <row r="218" spans="2:6" ht="13.5" customHeight="1" thickBot="1" x14ac:dyDescent="0.3">
      <c r="B218" s="314"/>
      <c r="C218" s="315"/>
      <c r="D218" s="315"/>
      <c r="E218" s="316"/>
    </row>
    <row r="219" spans="2:6" ht="12.75" customHeight="1" x14ac:dyDescent="0.25">
      <c r="B219" s="173" t="s">
        <v>952</v>
      </c>
    </row>
    <row r="220" spans="2:6" ht="12.75" customHeight="1" x14ac:dyDescent="0.25">
      <c r="B220" s="173" t="s">
        <v>995</v>
      </c>
    </row>
    <row r="221" spans="2:6" ht="12.75" customHeight="1" x14ac:dyDescent="0.25">
      <c r="B221" s="173" t="s">
        <v>912</v>
      </c>
    </row>
    <row r="222" spans="2:6" ht="13.5" hidden="1" customHeight="1" thickBot="1" x14ac:dyDescent="0.3">
      <c r="B222" s="173"/>
    </row>
    <row r="223" spans="2:6" ht="12.75" hidden="1" customHeight="1" x14ac:dyDescent="0.25">
      <c r="B223" s="456" t="s">
        <v>915</v>
      </c>
      <c r="C223" s="457"/>
      <c r="D223" s="457"/>
      <c r="E223" s="458"/>
    </row>
    <row r="224" spans="2:6" ht="12.75" hidden="1" customHeight="1" x14ac:dyDescent="0.25">
      <c r="B224" s="459"/>
      <c r="C224" s="460"/>
      <c r="D224" s="460"/>
      <c r="E224" s="461"/>
    </row>
    <row r="225" spans="2:5" ht="12.75" hidden="1" customHeight="1" x14ac:dyDescent="0.25">
      <c r="B225" s="459"/>
      <c r="C225" s="460"/>
      <c r="D225" s="460"/>
      <c r="E225" s="461"/>
    </row>
    <row r="226" spans="2:5" ht="12.75" hidden="1" customHeight="1" x14ac:dyDescent="0.25">
      <c r="B226" s="459"/>
      <c r="C226" s="460"/>
      <c r="D226" s="460"/>
      <c r="E226" s="461"/>
    </row>
    <row r="227" spans="2:5" ht="12.75" hidden="1" customHeight="1" x14ac:dyDescent="0.25">
      <c r="B227" s="459"/>
      <c r="C227" s="460"/>
      <c r="D227" s="460"/>
      <c r="E227" s="461"/>
    </row>
    <row r="228" spans="2:5" ht="12.75" hidden="1" customHeight="1" x14ac:dyDescent="0.25">
      <c r="B228" s="459"/>
      <c r="C228" s="460"/>
      <c r="D228" s="460"/>
      <c r="E228" s="461"/>
    </row>
    <row r="229" spans="2:5" ht="15.75" hidden="1" customHeight="1" x14ac:dyDescent="0.35">
      <c r="B229" s="462" t="s">
        <v>918</v>
      </c>
      <c r="C229" s="463"/>
      <c r="D229" s="463"/>
      <c r="E229" s="464"/>
    </row>
    <row r="230" spans="2:5" ht="15.75" hidden="1" customHeight="1" x14ac:dyDescent="0.35">
      <c r="B230" s="462" t="s">
        <v>996</v>
      </c>
      <c r="C230" s="463"/>
      <c r="D230" s="463"/>
      <c r="E230" s="464"/>
    </row>
    <row r="231" spans="2:5" ht="12.75" hidden="1" customHeight="1" x14ac:dyDescent="0.25">
      <c r="B231" s="489" t="s">
        <v>997</v>
      </c>
      <c r="C231" s="490"/>
      <c r="D231" s="490"/>
      <c r="E231" s="491"/>
    </row>
    <row r="232" spans="2:5" ht="12.75" hidden="1" customHeight="1" x14ac:dyDescent="0.25">
      <c r="B232" s="489" t="s">
        <v>998</v>
      </c>
      <c r="C232" s="490"/>
      <c r="D232" s="490"/>
      <c r="E232" s="491"/>
    </row>
    <row r="233" spans="2:5" ht="12.75" hidden="1" customHeight="1" x14ac:dyDescent="0.25">
      <c r="B233" s="484" t="s">
        <v>999</v>
      </c>
      <c r="C233" s="485"/>
      <c r="D233" s="485"/>
      <c r="E233" s="486"/>
    </row>
    <row r="234" spans="2:5" ht="12.75" hidden="1" customHeight="1" x14ac:dyDescent="0.25">
      <c r="B234" s="454" t="s">
        <v>1000</v>
      </c>
      <c r="C234" s="455"/>
      <c r="D234" s="487">
        <v>23</v>
      </c>
      <c r="E234" s="488"/>
    </row>
    <row r="235" spans="2:5" ht="12.75" hidden="1" customHeight="1" x14ac:dyDescent="0.25">
      <c r="B235" s="448"/>
      <c r="C235" s="449"/>
      <c r="D235" s="449"/>
      <c r="E235" s="450"/>
    </row>
    <row r="236" spans="2:5" ht="15" hidden="1" customHeight="1" x14ac:dyDescent="0.25">
      <c r="B236" s="435" t="s">
        <v>929</v>
      </c>
      <c r="C236" s="436"/>
      <c r="D236" s="294"/>
      <c r="E236" s="312"/>
    </row>
    <row r="237" spans="2:5" ht="12.75" hidden="1" customHeight="1" x14ac:dyDescent="0.25">
      <c r="B237" s="309" t="s">
        <v>934</v>
      </c>
      <c r="C237" s="294"/>
      <c r="D237" s="295">
        <v>0</v>
      </c>
      <c r="E237" s="310"/>
    </row>
    <row r="238" spans="2:5" ht="12.75" hidden="1" customHeight="1" x14ac:dyDescent="0.25">
      <c r="B238" s="309" t="s">
        <v>935</v>
      </c>
      <c r="C238" s="294"/>
      <c r="D238" s="295">
        <v>0</v>
      </c>
      <c r="E238" s="310"/>
    </row>
    <row r="239" spans="2:5" ht="12.75" hidden="1" customHeight="1" x14ac:dyDescent="0.25">
      <c r="B239" s="309" t="s">
        <v>936</v>
      </c>
      <c r="C239" s="294"/>
      <c r="D239" s="295">
        <f>D237*0%</f>
        <v>0</v>
      </c>
      <c r="E239" s="310"/>
    </row>
    <row r="240" spans="2:5" ht="12.75" hidden="1" customHeight="1" x14ac:dyDescent="0.25">
      <c r="B240" s="309" t="s">
        <v>937</v>
      </c>
      <c r="C240" s="294"/>
      <c r="D240" s="295">
        <v>0</v>
      </c>
      <c r="E240" s="310"/>
    </row>
    <row r="241" spans="2:6" ht="12.75" hidden="1" customHeight="1" x14ac:dyDescent="0.25">
      <c r="B241" s="309" t="s">
        <v>938</v>
      </c>
      <c r="C241" s="294"/>
      <c r="D241" s="295">
        <v>0</v>
      </c>
      <c r="E241" s="310"/>
    </row>
    <row r="242" spans="2:6" ht="12.75" hidden="1" customHeight="1" x14ac:dyDescent="0.25">
      <c r="B242" s="309" t="s">
        <v>1001</v>
      </c>
      <c r="C242" s="295">
        <v>0</v>
      </c>
      <c r="D242" s="295">
        <f>C242/12</f>
        <v>0</v>
      </c>
      <c r="E242" s="310"/>
    </row>
    <row r="243" spans="2:6" ht="12.75" hidden="1" customHeight="1" x14ac:dyDescent="0.25">
      <c r="B243" s="309" t="s">
        <v>1002</v>
      </c>
      <c r="C243" s="295">
        <v>0</v>
      </c>
      <c r="D243" s="295">
        <f>C243/12</f>
        <v>0</v>
      </c>
      <c r="E243" s="310"/>
    </row>
    <row r="244" spans="2:6" ht="15.75" hidden="1" customHeight="1" thickBot="1" x14ac:dyDescent="0.35">
      <c r="B244" s="311" t="s">
        <v>1003</v>
      </c>
      <c r="C244" s="294"/>
      <c r="D244" s="298">
        <f>ROUND(((D237+D238+D239+D240+D241+D242+D243)/30*D234)/360*360,0)</f>
        <v>0</v>
      </c>
      <c r="E244" s="317"/>
      <c r="F244" s="298">
        <f>ROUND(((D237+D238+D239+D240)/30*D234)/360*360,0)</f>
        <v>0</v>
      </c>
    </row>
    <row r="245" spans="2:6" ht="12.75" hidden="1" customHeight="1" x14ac:dyDescent="0.25">
      <c r="B245" s="309"/>
      <c r="C245" s="294"/>
      <c r="D245" s="294"/>
      <c r="E245" s="312"/>
    </row>
    <row r="246" spans="2:6" ht="12.75" hidden="1" customHeight="1" x14ac:dyDescent="0.25">
      <c r="B246" s="309"/>
      <c r="C246" s="294"/>
      <c r="D246" s="294"/>
      <c r="E246" s="312"/>
    </row>
    <row r="247" spans="2:6" ht="15" hidden="1" customHeight="1" x14ac:dyDescent="0.25">
      <c r="B247" s="435" t="s">
        <v>944</v>
      </c>
      <c r="C247" s="437"/>
      <c r="D247" s="294"/>
      <c r="E247" s="312"/>
    </row>
    <row r="248" spans="2:6" ht="12.75" hidden="1" customHeight="1" x14ac:dyDescent="0.25">
      <c r="B248" s="309" t="s">
        <v>934</v>
      </c>
      <c r="C248" s="294"/>
      <c r="D248" s="295">
        <f t="shared" ref="D248:D254" si="11">+D237</f>
        <v>0</v>
      </c>
      <c r="E248" s="310"/>
    </row>
    <row r="249" spans="2:6" ht="12.75" hidden="1" customHeight="1" x14ac:dyDescent="0.25">
      <c r="B249" s="309" t="s">
        <v>935</v>
      </c>
      <c r="C249" s="294"/>
      <c r="D249" s="295">
        <f t="shared" si="11"/>
        <v>0</v>
      </c>
      <c r="E249" s="310"/>
    </row>
    <row r="250" spans="2:6" ht="12.75" hidden="1" customHeight="1" x14ac:dyDescent="0.25">
      <c r="B250" s="309" t="s">
        <v>936</v>
      </c>
      <c r="C250" s="294"/>
      <c r="D250" s="295">
        <f t="shared" si="11"/>
        <v>0</v>
      </c>
      <c r="E250" s="310"/>
    </row>
    <row r="251" spans="2:6" ht="12.75" hidden="1" customHeight="1" x14ac:dyDescent="0.25">
      <c r="B251" s="309" t="s">
        <v>937</v>
      </c>
      <c r="C251" s="294"/>
      <c r="D251" s="295">
        <f t="shared" si="11"/>
        <v>0</v>
      </c>
      <c r="E251" s="310"/>
    </row>
    <row r="252" spans="2:6" ht="12.75" hidden="1" customHeight="1" x14ac:dyDescent="0.25">
      <c r="B252" s="309" t="s">
        <v>938</v>
      </c>
      <c r="C252" s="294"/>
      <c r="D252" s="295">
        <f t="shared" si="11"/>
        <v>0</v>
      </c>
      <c r="E252" s="310"/>
    </row>
    <row r="253" spans="2:6" ht="12.75" hidden="1" customHeight="1" x14ac:dyDescent="0.25">
      <c r="B253" s="309" t="str">
        <f>+B242</f>
        <v>1/12 Prima de Servicios Cancelada en Junio 2011</v>
      </c>
      <c r="C253" s="295">
        <f>+C242</f>
        <v>0</v>
      </c>
      <c r="D253" s="295">
        <f t="shared" si="11"/>
        <v>0</v>
      </c>
      <c r="E253" s="310"/>
    </row>
    <row r="254" spans="2:6" ht="12.75" hidden="1" customHeight="1" x14ac:dyDescent="0.25">
      <c r="B254" s="309" t="str">
        <f>+B243</f>
        <v>1/12 Bonificación Servicios Prestados Cancelada en Abril 2012</v>
      </c>
      <c r="C254" s="295">
        <f>+C243</f>
        <v>0</v>
      </c>
      <c r="D254" s="295">
        <f t="shared" si="11"/>
        <v>0</v>
      </c>
      <c r="E254" s="310"/>
    </row>
    <row r="255" spans="2:6" ht="15.75" hidden="1" customHeight="1" thickBot="1" x14ac:dyDescent="0.35">
      <c r="B255" s="311" t="s">
        <v>946</v>
      </c>
      <c r="C255" s="294"/>
      <c r="D255" s="298">
        <f>ROUND((D248+D249+D250+D251+D252+D253+D254)/2*360/360,0)</f>
        <v>0</v>
      </c>
      <c r="E255" s="317"/>
    </row>
    <row r="256" spans="2:6" ht="12.75" hidden="1" customHeight="1" x14ac:dyDescent="0.25">
      <c r="B256" s="309"/>
      <c r="C256" s="294"/>
      <c r="D256" s="295"/>
      <c r="E256" s="310"/>
    </row>
    <row r="257" spans="2:5" ht="15" hidden="1" customHeight="1" x14ac:dyDescent="0.25">
      <c r="B257" s="435" t="s">
        <v>948</v>
      </c>
      <c r="C257" s="437"/>
      <c r="D257" s="295"/>
      <c r="E257" s="310"/>
    </row>
    <row r="258" spans="2:5" ht="12.75" hidden="1" customHeight="1" x14ac:dyDescent="0.25">
      <c r="B258" s="309" t="s">
        <v>934</v>
      </c>
      <c r="C258" s="294"/>
      <c r="D258" s="295">
        <f>+D237</f>
        <v>0</v>
      </c>
      <c r="E258" s="310"/>
    </row>
    <row r="259" spans="2:5" ht="15.75" hidden="1" customHeight="1" thickBot="1" x14ac:dyDescent="0.35">
      <c r="B259" s="311" t="s">
        <v>949</v>
      </c>
      <c r="C259" s="294"/>
      <c r="D259" s="298">
        <f>ROUND(D258/30*2,0)</f>
        <v>0</v>
      </c>
      <c r="E259" s="317"/>
    </row>
    <row r="260" spans="2:5" ht="12.75" hidden="1" customHeight="1" x14ac:dyDescent="0.25">
      <c r="B260" s="309"/>
      <c r="C260" s="294"/>
      <c r="D260" s="294"/>
      <c r="E260" s="312"/>
    </row>
    <row r="261" spans="2:5" ht="15.75" hidden="1" customHeight="1" x14ac:dyDescent="0.35">
      <c r="B261" s="313" t="s">
        <v>950</v>
      </c>
      <c r="C261" s="299"/>
      <c r="D261" s="300">
        <f>D244+D255+D259</f>
        <v>0</v>
      </c>
      <c r="E261" s="318"/>
    </row>
    <row r="262" spans="2:5" ht="13.5" hidden="1" customHeight="1" thickBot="1" x14ac:dyDescent="0.3">
      <c r="B262" s="314"/>
      <c r="C262" s="315"/>
      <c r="D262" s="315"/>
      <c r="E262" s="316"/>
    </row>
    <row r="263" spans="2:5" ht="12.75" hidden="1" customHeight="1" x14ac:dyDescent="0.25">
      <c r="B263" s="173" t="s">
        <v>952</v>
      </c>
    </row>
    <row r="264" spans="2:5" ht="12.75" hidden="1" customHeight="1" x14ac:dyDescent="0.25">
      <c r="B264" s="173" t="s">
        <v>995</v>
      </c>
    </row>
    <row r="265" spans="2:5" ht="12.75" hidden="1" customHeight="1" x14ac:dyDescent="0.25">
      <c r="B265" s="173" t="s">
        <v>1004</v>
      </c>
    </row>
    <row r="266" spans="2:5" ht="12.75" hidden="1" customHeight="1" thickBot="1" x14ac:dyDescent="0.3">
      <c r="B266" s="173"/>
    </row>
    <row r="267" spans="2:5" ht="12.75" hidden="1" customHeight="1" x14ac:dyDescent="0.25">
      <c r="B267" s="456" t="s">
        <v>915</v>
      </c>
      <c r="C267" s="457"/>
      <c r="D267" s="457"/>
      <c r="E267" s="458"/>
    </row>
    <row r="268" spans="2:5" ht="12.75" hidden="1" customHeight="1" x14ac:dyDescent="0.25">
      <c r="B268" s="459"/>
      <c r="C268" s="460"/>
      <c r="D268" s="460"/>
      <c r="E268" s="461"/>
    </row>
    <row r="269" spans="2:5" ht="12.75" hidden="1" customHeight="1" x14ac:dyDescent="0.25">
      <c r="B269" s="459"/>
      <c r="C269" s="460"/>
      <c r="D269" s="460"/>
      <c r="E269" s="461"/>
    </row>
    <row r="270" spans="2:5" ht="12.75" hidden="1" customHeight="1" x14ac:dyDescent="0.25">
      <c r="B270" s="459"/>
      <c r="C270" s="460"/>
      <c r="D270" s="460"/>
      <c r="E270" s="461"/>
    </row>
    <row r="271" spans="2:5" ht="12.75" hidden="1" customHeight="1" x14ac:dyDescent="0.25">
      <c r="B271" s="459"/>
      <c r="C271" s="460"/>
      <c r="D271" s="460"/>
      <c r="E271" s="461"/>
    </row>
    <row r="272" spans="2:5" ht="12.75" hidden="1" customHeight="1" x14ac:dyDescent="0.25">
      <c r="B272" s="459"/>
      <c r="C272" s="460"/>
      <c r="D272" s="460"/>
      <c r="E272" s="461"/>
    </row>
    <row r="273" spans="2:5" ht="15.75" hidden="1" customHeight="1" x14ac:dyDescent="0.35">
      <c r="B273" s="462" t="s">
        <v>955</v>
      </c>
      <c r="C273" s="463"/>
      <c r="D273" s="463"/>
      <c r="E273" s="464"/>
    </row>
    <row r="274" spans="2:5" ht="15.75" hidden="1" customHeight="1" x14ac:dyDescent="0.35">
      <c r="B274" s="462" t="s">
        <v>1005</v>
      </c>
      <c r="C274" s="463"/>
      <c r="D274" s="463"/>
      <c r="E274" s="464"/>
    </row>
    <row r="275" spans="2:5" ht="12.75" hidden="1" customHeight="1" x14ac:dyDescent="0.25">
      <c r="B275" s="438" t="s">
        <v>997</v>
      </c>
      <c r="C275" s="439"/>
      <c r="D275" s="439"/>
      <c r="E275" s="440"/>
    </row>
    <row r="276" spans="2:5" ht="12.75" hidden="1" customHeight="1" x14ac:dyDescent="0.25">
      <c r="B276" s="438" t="s">
        <v>998</v>
      </c>
      <c r="C276" s="439"/>
      <c r="D276" s="439"/>
      <c r="E276" s="440"/>
    </row>
    <row r="277" spans="2:5" ht="12.75" hidden="1" customHeight="1" x14ac:dyDescent="0.25">
      <c r="B277" s="441" t="s">
        <v>999</v>
      </c>
      <c r="C277" s="442"/>
      <c r="D277" s="442"/>
      <c r="E277" s="443"/>
    </row>
    <row r="278" spans="2:5" ht="12.75" hidden="1" customHeight="1" x14ac:dyDescent="0.25">
      <c r="B278" s="444" t="s">
        <v>1000</v>
      </c>
      <c r="C278" s="445"/>
      <c r="D278" s="446">
        <v>23</v>
      </c>
      <c r="E278" s="447"/>
    </row>
    <row r="279" spans="2:5" ht="12.75" hidden="1" customHeight="1" x14ac:dyDescent="0.25">
      <c r="B279" s="448"/>
      <c r="C279" s="449"/>
      <c r="D279" s="449"/>
      <c r="E279" s="450"/>
    </row>
    <row r="280" spans="2:5" ht="15" hidden="1" customHeight="1" x14ac:dyDescent="0.25">
      <c r="B280" s="435" t="s">
        <v>929</v>
      </c>
      <c r="C280" s="436"/>
      <c r="D280" s="294"/>
      <c r="E280" s="312"/>
    </row>
    <row r="281" spans="2:5" ht="12.75" hidden="1" customHeight="1" x14ac:dyDescent="0.25">
      <c r="B281" s="309" t="s">
        <v>934</v>
      </c>
      <c r="C281" s="294"/>
      <c r="D281" s="295">
        <v>0</v>
      </c>
      <c r="E281" s="310"/>
    </row>
    <row r="282" spans="2:5" ht="12.75" hidden="1" customHeight="1" x14ac:dyDescent="0.25">
      <c r="B282" s="309" t="s">
        <v>935</v>
      </c>
      <c r="C282" s="294"/>
      <c r="D282" s="295">
        <v>0</v>
      </c>
      <c r="E282" s="310"/>
    </row>
    <row r="283" spans="2:5" ht="12.75" hidden="1" customHeight="1" x14ac:dyDescent="0.25">
      <c r="B283" s="309" t="s">
        <v>936</v>
      </c>
      <c r="C283" s="294"/>
      <c r="D283" s="295">
        <v>0</v>
      </c>
      <c r="E283" s="310"/>
    </row>
    <row r="284" spans="2:5" ht="12.75" hidden="1" customHeight="1" x14ac:dyDescent="0.25">
      <c r="B284" s="309" t="s">
        <v>937</v>
      </c>
      <c r="C284" s="294"/>
      <c r="D284" s="295">
        <v>0</v>
      </c>
      <c r="E284" s="310"/>
    </row>
    <row r="285" spans="2:5" ht="12.75" hidden="1" customHeight="1" x14ac:dyDescent="0.25">
      <c r="B285" s="309" t="s">
        <v>938</v>
      </c>
      <c r="C285" s="294"/>
      <c r="D285" s="295">
        <v>0</v>
      </c>
      <c r="E285" s="310"/>
    </row>
    <row r="286" spans="2:5" ht="12.75" hidden="1" customHeight="1" x14ac:dyDescent="0.25">
      <c r="B286" s="309" t="s">
        <v>1001</v>
      </c>
      <c r="C286" s="295">
        <v>0</v>
      </c>
      <c r="D286" s="295">
        <f>C286/12</f>
        <v>0</v>
      </c>
      <c r="E286" s="310"/>
    </row>
    <row r="287" spans="2:5" ht="12.75" hidden="1" customHeight="1" x14ac:dyDescent="0.25">
      <c r="B287" s="309" t="s">
        <v>1002</v>
      </c>
      <c r="C287" s="295">
        <v>0</v>
      </c>
      <c r="D287" s="295">
        <f>C287/12</f>
        <v>0</v>
      </c>
      <c r="E287" s="310"/>
    </row>
    <row r="288" spans="2:5" ht="15.75" hidden="1" customHeight="1" thickBot="1" x14ac:dyDescent="0.35">
      <c r="B288" s="311" t="s">
        <v>1003</v>
      </c>
      <c r="C288" s="294"/>
      <c r="D288" s="298">
        <f>ROUND(((D281+D282+D283+D284+D285+D286+D287)/30*D278)/360*360,0)</f>
        <v>0</v>
      </c>
      <c r="E288" s="317"/>
    </row>
    <row r="289" spans="2:5" ht="12.75" hidden="1" customHeight="1" x14ac:dyDescent="0.25">
      <c r="B289" s="309"/>
      <c r="C289" s="294"/>
      <c r="D289" s="294"/>
      <c r="E289" s="312"/>
    </row>
    <row r="290" spans="2:5" ht="12.75" hidden="1" customHeight="1" x14ac:dyDescent="0.25">
      <c r="B290" s="309"/>
      <c r="C290" s="294"/>
      <c r="D290" s="294"/>
      <c r="E290" s="312"/>
    </row>
    <row r="291" spans="2:5" ht="15" hidden="1" customHeight="1" x14ac:dyDescent="0.25">
      <c r="B291" s="435" t="s">
        <v>944</v>
      </c>
      <c r="C291" s="437"/>
      <c r="D291" s="294"/>
      <c r="E291" s="312"/>
    </row>
    <row r="292" spans="2:5" ht="12.75" hidden="1" customHeight="1" x14ac:dyDescent="0.25">
      <c r="B292" s="309" t="s">
        <v>934</v>
      </c>
      <c r="C292" s="294"/>
      <c r="D292" s="295">
        <f t="shared" ref="D292:D298" si="12">+D281</f>
        <v>0</v>
      </c>
      <c r="E292" s="310"/>
    </row>
    <row r="293" spans="2:5" ht="12.75" hidden="1" customHeight="1" x14ac:dyDescent="0.25">
      <c r="B293" s="309" t="s">
        <v>935</v>
      </c>
      <c r="C293" s="294"/>
      <c r="D293" s="295">
        <f t="shared" si="12"/>
        <v>0</v>
      </c>
      <c r="E293" s="310"/>
    </row>
    <row r="294" spans="2:5" ht="12.75" hidden="1" customHeight="1" x14ac:dyDescent="0.25">
      <c r="B294" s="309" t="s">
        <v>936</v>
      </c>
      <c r="C294" s="294"/>
      <c r="D294" s="295">
        <f t="shared" si="12"/>
        <v>0</v>
      </c>
      <c r="E294" s="310"/>
    </row>
    <row r="295" spans="2:5" ht="12.75" hidden="1" customHeight="1" x14ac:dyDescent="0.25">
      <c r="B295" s="309" t="s">
        <v>937</v>
      </c>
      <c r="C295" s="294"/>
      <c r="D295" s="295">
        <f t="shared" si="12"/>
        <v>0</v>
      </c>
      <c r="E295" s="310"/>
    </row>
    <row r="296" spans="2:5" ht="12.75" hidden="1" customHeight="1" x14ac:dyDescent="0.25">
      <c r="B296" s="309" t="s">
        <v>938</v>
      </c>
      <c r="C296" s="294"/>
      <c r="D296" s="295">
        <f t="shared" si="12"/>
        <v>0</v>
      </c>
      <c r="E296" s="310"/>
    </row>
    <row r="297" spans="2:5" ht="12.75" hidden="1" customHeight="1" x14ac:dyDescent="0.25">
      <c r="B297" s="309" t="str">
        <f>+B286</f>
        <v>1/12 Prima de Servicios Cancelada en Junio 2011</v>
      </c>
      <c r="C297" s="295">
        <f>+C286</f>
        <v>0</v>
      </c>
      <c r="D297" s="295">
        <f t="shared" si="12"/>
        <v>0</v>
      </c>
      <c r="E297" s="310"/>
    </row>
    <row r="298" spans="2:5" ht="12.75" hidden="1" customHeight="1" x14ac:dyDescent="0.25">
      <c r="B298" s="309" t="str">
        <f>+B287</f>
        <v>1/12 Bonificación Servicios Prestados Cancelada en Abril 2012</v>
      </c>
      <c r="C298" s="295">
        <f>+C287</f>
        <v>0</v>
      </c>
      <c r="D298" s="295">
        <f t="shared" si="12"/>
        <v>0</v>
      </c>
      <c r="E298" s="310"/>
    </row>
    <row r="299" spans="2:5" ht="15.75" hidden="1" customHeight="1" thickBot="1" x14ac:dyDescent="0.35">
      <c r="B299" s="311" t="s">
        <v>946</v>
      </c>
      <c r="C299" s="294"/>
      <c r="D299" s="298">
        <f>ROUND((D292+D293+D294+D295+D296+D297+D298)/2*360/360,0)</f>
        <v>0</v>
      </c>
      <c r="E299" s="317"/>
    </row>
    <row r="300" spans="2:5" ht="12.75" hidden="1" customHeight="1" x14ac:dyDescent="0.25">
      <c r="B300" s="309"/>
      <c r="C300" s="294"/>
      <c r="D300" s="295"/>
      <c r="E300" s="310"/>
    </row>
    <row r="301" spans="2:5" ht="15" hidden="1" customHeight="1" x14ac:dyDescent="0.25">
      <c r="B301" s="435" t="s">
        <v>948</v>
      </c>
      <c r="C301" s="437"/>
      <c r="D301" s="295"/>
      <c r="E301" s="310"/>
    </row>
    <row r="302" spans="2:5" ht="12.75" hidden="1" customHeight="1" x14ac:dyDescent="0.25">
      <c r="B302" s="309" t="s">
        <v>934</v>
      </c>
      <c r="C302" s="294"/>
      <c r="D302" s="295">
        <f>+D281</f>
        <v>0</v>
      </c>
      <c r="E302" s="310"/>
    </row>
    <row r="303" spans="2:5" ht="15.75" hidden="1" customHeight="1" thickBot="1" x14ac:dyDescent="0.35">
      <c r="B303" s="311" t="s">
        <v>949</v>
      </c>
      <c r="C303" s="294"/>
      <c r="D303" s="298">
        <f>ROUND(D302/30*2,0)</f>
        <v>0</v>
      </c>
      <c r="E303" s="317"/>
    </row>
    <row r="304" spans="2:5" ht="12.75" hidden="1" customHeight="1" x14ac:dyDescent="0.25">
      <c r="B304" s="309"/>
      <c r="C304" s="294"/>
      <c r="D304" s="294"/>
      <c r="E304" s="312"/>
    </row>
    <row r="305" spans="2:5" ht="15.75" hidden="1" customHeight="1" x14ac:dyDescent="0.35">
      <c r="B305" s="313" t="s">
        <v>950</v>
      </c>
      <c r="C305" s="299"/>
      <c r="D305" s="300">
        <f>D288+D299+D303</f>
        <v>0</v>
      </c>
      <c r="E305" s="318"/>
    </row>
    <row r="306" spans="2:5" ht="13.5" hidden="1" customHeight="1" thickBot="1" x14ac:dyDescent="0.3">
      <c r="B306" s="314"/>
      <c r="C306" s="315"/>
      <c r="D306" s="315"/>
      <c r="E306" s="316"/>
    </row>
    <row r="307" spans="2:5" ht="12.75" hidden="1" customHeight="1" x14ac:dyDescent="0.25">
      <c r="B307" s="173" t="s">
        <v>952</v>
      </c>
    </row>
    <row r="308" spans="2:5" ht="12.75" hidden="1" customHeight="1" x14ac:dyDescent="0.25">
      <c r="B308" s="173" t="s">
        <v>995</v>
      </c>
    </row>
    <row r="309" spans="2:5" ht="12.75" hidden="1" customHeight="1" x14ac:dyDescent="0.25">
      <c r="B309" s="173" t="s">
        <v>1004</v>
      </c>
    </row>
    <row r="310" spans="2:5" ht="12.75" hidden="1" customHeight="1" x14ac:dyDescent="0.25"/>
    <row r="311" spans="2:5" ht="12.75" hidden="1" customHeight="1" x14ac:dyDescent="0.25"/>
    <row r="312" spans="2:5" ht="12.75" hidden="1" customHeight="1" x14ac:dyDescent="0.25"/>
    <row r="313" spans="2:5" ht="12.75" hidden="1" customHeight="1" x14ac:dyDescent="0.25"/>
    <row r="314" spans="2:5" ht="12.75" hidden="1" customHeight="1" x14ac:dyDescent="0.25"/>
    <row r="315" spans="2:5" ht="12.75" hidden="1" customHeight="1" x14ac:dyDescent="0.25"/>
    <row r="316" spans="2:5" ht="12.75" hidden="1" customHeight="1" x14ac:dyDescent="0.25"/>
    <row r="317" spans="2:5" ht="12.75" hidden="1" customHeight="1" x14ac:dyDescent="0.25"/>
    <row r="318" spans="2:5" ht="12.75" hidden="1" customHeight="1" x14ac:dyDescent="0.25"/>
    <row r="319" spans="2:5" ht="12.75" hidden="1" customHeight="1" x14ac:dyDescent="0.25"/>
    <row r="320" spans="2:5" ht="12.75" hidden="1" customHeight="1" x14ac:dyDescent="0.25"/>
    <row r="321" ht="12.75" hidden="1" customHeight="1" x14ac:dyDescent="0.25"/>
    <row r="322" ht="12.75" hidden="1" customHeight="1" x14ac:dyDescent="0.25"/>
    <row r="323" ht="12.75" hidden="1" customHeight="1" x14ac:dyDescent="0.25"/>
    <row r="324" ht="12.75" hidden="1" customHeight="1" x14ac:dyDescent="0.25"/>
    <row r="325" ht="12.75" hidden="1" customHeight="1" x14ac:dyDescent="0.25"/>
    <row r="326" ht="12.75" hidden="1" customHeight="1" x14ac:dyDescent="0.25"/>
    <row r="327" ht="12.75" hidden="1" customHeight="1" x14ac:dyDescent="0.25"/>
    <row r="328" ht="12.75" hidden="1" customHeight="1" x14ac:dyDescent="0.25"/>
    <row r="329" ht="12.75" hidden="1" customHeight="1" x14ac:dyDescent="0.25"/>
    <row r="330" ht="12.75" hidden="1" customHeight="1" x14ac:dyDescent="0.25"/>
    <row r="331" ht="12.75" hidden="1" customHeight="1" x14ac:dyDescent="0.25"/>
    <row r="332" ht="12.75" hidden="1" customHeight="1" x14ac:dyDescent="0.25"/>
    <row r="333" ht="12.75" hidden="1" customHeight="1" x14ac:dyDescent="0.25"/>
    <row r="334" ht="12.75" hidden="1" customHeight="1" x14ac:dyDescent="0.25"/>
    <row r="335" ht="12.75" hidden="1" customHeight="1" x14ac:dyDescent="0.25"/>
    <row r="336" ht="12.75" hidden="1" customHeight="1" x14ac:dyDescent="0.25"/>
    <row r="337" spans="2:5" ht="12.75" hidden="1" customHeight="1" x14ac:dyDescent="0.25"/>
    <row r="338" spans="2:5" ht="12.75" hidden="1" customHeight="1" x14ac:dyDescent="0.25"/>
    <row r="339" spans="2:5" ht="12.75" hidden="1" customHeight="1" x14ac:dyDescent="0.25"/>
    <row r="340" spans="2:5" ht="12.75" hidden="1" customHeight="1" x14ac:dyDescent="0.25"/>
    <row r="341" spans="2:5" ht="12.75" hidden="1" customHeight="1" x14ac:dyDescent="0.25"/>
    <row r="342" spans="2:5" ht="12.75" hidden="1" customHeight="1" x14ac:dyDescent="0.25">
      <c r="B342" s="456" t="s">
        <v>915</v>
      </c>
      <c r="C342" s="457"/>
      <c r="D342" s="457"/>
      <c r="E342" s="458"/>
    </row>
    <row r="343" spans="2:5" ht="12.75" hidden="1" customHeight="1" x14ac:dyDescent="0.25">
      <c r="B343" s="459"/>
      <c r="C343" s="460"/>
      <c r="D343" s="460"/>
      <c r="E343" s="461"/>
    </row>
    <row r="344" spans="2:5" ht="12.75" hidden="1" customHeight="1" x14ac:dyDescent="0.25">
      <c r="B344" s="459"/>
      <c r="C344" s="460"/>
      <c r="D344" s="460"/>
      <c r="E344" s="461"/>
    </row>
    <row r="345" spans="2:5" ht="12.75" hidden="1" customHeight="1" x14ac:dyDescent="0.25">
      <c r="B345" s="459"/>
      <c r="C345" s="460"/>
      <c r="D345" s="460"/>
      <c r="E345" s="461"/>
    </row>
    <row r="346" spans="2:5" ht="12.75" hidden="1" customHeight="1" x14ac:dyDescent="0.25">
      <c r="B346" s="459"/>
      <c r="C346" s="460"/>
      <c r="D346" s="460"/>
      <c r="E346" s="461"/>
    </row>
    <row r="347" spans="2:5" ht="12.75" hidden="1" customHeight="1" x14ac:dyDescent="0.25">
      <c r="B347" s="459"/>
      <c r="C347" s="460"/>
      <c r="D347" s="460"/>
      <c r="E347" s="461"/>
    </row>
    <row r="348" spans="2:5" ht="15.5" hidden="1" x14ac:dyDescent="0.35">
      <c r="B348" s="462" t="s">
        <v>1006</v>
      </c>
      <c r="C348" s="463"/>
      <c r="D348" s="463"/>
      <c r="E348" s="464"/>
    </row>
    <row r="349" spans="2:5" ht="15.5" hidden="1" x14ac:dyDescent="0.35">
      <c r="B349" s="462" t="s">
        <v>956</v>
      </c>
      <c r="C349" s="463"/>
      <c r="D349" s="463"/>
      <c r="E349" s="464"/>
    </row>
    <row r="350" spans="2:5" hidden="1" x14ac:dyDescent="0.25">
      <c r="B350" s="438" t="s">
        <v>1007</v>
      </c>
      <c r="C350" s="439"/>
      <c r="D350" s="439"/>
      <c r="E350" s="440"/>
    </row>
    <row r="351" spans="2:5" hidden="1" x14ac:dyDescent="0.25">
      <c r="B351" s="438" t="s">
        <v>1008</v>
      </c>
      <c r="C351" s="439"/>
      <c r="D351" s="439"/>
      <c r="E351" s="440"/>
    </row>
    <row r="352" spans="2:5" hidden="1" x14ac:dyDescent="0.25">
      <c r="B352" s="441" t="s">
        <v>925</v>
      </c>
      <c r="C352" s="442"/>
      <c r="D352" s="442"/>
      <c r="E352" s="443"/>
    </row>
    <row r="353" spans="2:6" hidden="1" x14ac:dyDescent="0.25">
      <c r="B353" s="498" t="s">
        <v>927</v>
      </c>
      <c r="C353" s="445"/>
      <c r="D353" s="446">
        <v>0</v>
      </c>
      <c r="E353" s="447"/>
    </row>
    <row r="354" spans="2:6" hidden="1" x14ac:dyDescent="0.25">
      <c r="B354" s="448"/>
      <c r="C354" s="449"/>
      <c r="D354" s="449"/>
      <c r="E354" s="450"/>
    </row>
    <row r="355" spans="2:6" ht="14" hidden="1" x14ac:dyDescent="0.25">
      <c r="B355" s="435" t="s">
        <v>929</v>
      </c>
      <c r="C355" s="436"/>
      <c r="D355" s="294"/>
      <c r="E355" s="312"/>
    </row>
    <row r="356" spans="2:6" hidden="1" x14ac:dyDescent="0.25">
      <c r="B356" s="309" t="s">
        <v>934</v>
      </c>
      <c r="C356" s="294"/>
      <c r="D356" s="295">
        <v>3432180</v>
      </c>
      <c r="E356" s="310"/>
    </row>
    <row r="357" spans="2:6" hidden="1" x14ac:dyDescent="0.25">
      <c r="B357" s="309" t="s">
        <v>935</v>
      </c>
      <c r="C357" s="294"/>
      <c r="D357" s="295">
        <v>1029654</v>
      </c>
      <c r="E357" s="310"/>
    </row>
    <row r="358" spans="2:6" hidden="1" x14ac:dyDescent="0.25">
      <c r="B358" s="309" t="s">
        <v>936</v>
      </c>
      <c r="C358" s="294"/>
      <c r="D358" s="295">
        <v>1166941</v>
      </c>
      <c r="E358" s="310"/>
    </row>
    <row r="359" spans="2:6" hidden="1" x14ac:dyDescent="0.25">
      <c r="B359" s="309" t="s">
        <v>937</v>
      </c>
      <c r="C359" s="294"/>
      <c r="D359" s="295">
        <v>0</v>
      </c>
      <c r="E359" s="310"/>
    </row>
    <row r="360" spans="2:6" hidden="1" x14ac:dyDescent="0.25">
      <c r="B360" s="309" t="s">
        <v>938</v>
      </c>
      <c r="C360" s="294"/>
      <c r="D360" s="295">
        <v>0</v>
      </c>
      <c r="E360" s="310"/>
    </row>
    <row r="361" spans="2:6" hidden="1" x14ac:dyDescent="0.25">
      <c r="B361" s="309" t="s">
        <v>939</v>
      </c>
      <c r="C361" s="354">
        <v>6942156</v>
      </c>
      <c r="D361" s="295">
        <f>ROUND((C361/12),0)</f>
        <v>578513</v>
      </c>
      <c r="E361" s="310"/>
      <c r="F361" s="169"/>
    </row>
    <row r="362" spans="2:6" hidden="1" x14ac:dyDescent="0.25">
      <c r="B362" s="309" t="s">
        <v>1009</v>
      </c>
      <c r="C362" s="295">
        <v>1561641.9</v>
      </c>
      <c r="D362" s="295">
        <f>ROUND((C362/12),0)</f>
        <v>130137</v>
      </c>
      <c r="E362" s="310"/>
    </row>
    <row r="363" spans="2:6" ht="14.5" hidden="1" thickBot="1" x14ac:dyDescent="0.35">
      <c r="B363" s="311" t="s">
        <v>1010</v>
      </c>
      <c r="C363" s="294"/>
      <c r="D363" s="298">
        <f>ROUND(((D356+D357+D358+D359+D360+D361+D362)/30*D353)/360*360,0)</f>
        <v>0</v>
      </c>
      <c r="E363" s="317"/>
      <c r="F363" s="298">
        <f>ROUND(((D356+D357+D358+D359)/30*D353)/360*360,0)</f>
        <v>0</v>
      </c>
    </row>
    <row r="364" spans="2:6" hidden="1" x14ac:dyDescent="0.25">
      <c r="B364" s="309"/>
      <c r="C364" s="294"/>
      <c r="D364" s="294"/>
      <c r="E364" s="312"/>
      <c r="F364" s="169"/>
    </row>
    <row r="365" spans="2:6" hidden="1" x14ac:dyDescent="0.25">
      <c r="B365" s="309"/>
      <c r="C365" s="294"/>
      <c r="D365" s="294"/>
      <c r="E365" s="312"/>
      <c r="F365" s="169"/>
    </row>
    <row r="366" spans="2:6" ht="14" hidden="1" x14ac:dyDescent="0.25">
      <c r="B366" s="435" t="s">
        <v>944</v>
      </c>
      <c r="C366" s="437"/>
      <c r="D366" s="294"/>
      <c r="E366" s="312"/>
      <c r="F366" s="169"/>
    </row>
    <row r="367" spans="2:6" hidden="1" x14ac:dyDescent="0.25">
      <c r="B367" s="309" t="s">
        <v>934</v>
      </c>
      <c r="C367" s="294"/>
      <c r="D367" s="295">
        <f>+D356</f>
        <v>3432180</v>
      </c>
      <c r="E367" s="310"/>
    </row>
    <row r="368" spans="2:6" hidden="1" x14ac:dyDescent="0.25">
      <c r="B368" s="309" t="s">
        <v>935</v>
      </c>
      <c r="C368" s="294"/>
      <c r="D368" s="295">
        <f>+D357</f>
        <v>1029654</v>
      </c>
      <c r="E368" s="310"/>
    </row>
    <row r="369" spans="2:5" hidden="1" x14ac:dyDescent="0.25">
      <c r="B369" s="309" t="s">
        <v>936</v>
      </c>
      <c r="C369" s="294"/>
      <c r="D369" s="295">
        <f>+D358</f>
        <v>1166941</v>
      </c>
      <c r="E369" s="310"/>
    </row>
    <row r="370" spans="2:5" hidden="1" x14ac:dyDescent="0.25">
      <c r="B370" s="309" t="s">
        <v>937</v>
      </c>
      <c r="C370" s="294"/>
      <c r="D370" s="295">
        <f>+D359</f>
        <v>0</v>
      </c>
      <c r="E370" s="310"/>
    </row>
    <row r="371" spans="2:5" hidden="1" x14ac:dyDescent="0.25">
      <c r="B371" s="309" t="s">
        <v>938</v>
      </c>
      <c r="C371" s="294"/>
      <c r="D371" s="295">
        <f>+D360</f>
        <v>0</v>
      </c>
      <c r="E371" s="310"/>
    </row>
    <row r="372" spans="2:5" hidden="1" x14ac:dyDescent="0.25">
      <c r="B372" s="309" t="str">
        <f>+B361</f>
        <v>1/12 Prima de Servicios Cancelada en Junio 2012</v>
      </c>
      <c r="C372" s="354">
        <f>+C361</f>
        <v>6942156</v>
      </c>
      <c r="D372" s="295">
        <f>ROUND((D361),0)</f>
        <v>578513</v>
      </c>
      <c r="E372" s="310"/>
    </row>
    <row r="373" spans="2:5" hidden="1" x14ac:dyDescent="0.25">
      <c r="B373" s="309" t="str">
        <f>+B362</f>
        <v>1/12 Bonificación Servicios Prestados Cancelada en noviembre 2012</v>
      </c>
      <c r="C373" s="295">
        <f>+C362</f>
        <v>1561641.9</v>
      </c>
      <c r="D373" s="295">
        <f>ROUND((D362),0)</f>
        <v>130137</v>
      </c>
      <c r="E373" s="310"/>
    </row>
    <row r="374" spans="2:5" ht="14.5" hidden="1" thickBot="1" x14ac:dyDescent="0.35">
      <c r="B374" s="311" t="s">
        <v>946</v>
      </c>
      <c r="C374" s="294"/>
      <c r="D374" s="298">
        <f>ROUND((D367+D368+D369+D370+D371+D372+D373)/2*0/360,0)</f>
        <v>0</v>
      </c>
      <c r="E374" s="317"/>
    </row>
    <row r="375" spans="2:5" hidden="1" x14ac:dyDescent="0.25">
      <c r="B375" s="309"/>
      <c r="C375" s="294"/>
      <c r="D375" s="295"/>
      <c r="E375" s="310"/>
    </row>
    <row r="376" spans="2:5" ht="14" hidden="1" x14ac:dyDescent="0.25">
      <c r="B376" s="435" t="s">
        <v>948</v>
      </c>
      <c r="C376" s="437"/>
      <c r="D376" s="295"/>
      <c r="E376" s="310"/>
    </row>
    <row r="377" spans="2:5" hidden="1" x14ac:dyDescent="0.25">
      <c r="B377" s="309" t="s">
        <v>934</v>
      </c>
      <c r="C377" s="294"/>
      <c r="D377" s="295">
        <f>ROUND((D356),0)</f>
        <v>3432180</v>
      </c>
      <c r="E377" s="310"/>
    </row>
    <row r="378" spans="2:5" ht="14.5" hidden="1" thickBot="1" x14ac:dyDescent="0.35">
      <c r="B378" s="311" t="s">
        <v>949</v>
      </c>
      <c r="C378" s="294"/>
      <c r="D378" s="298">
        <f>ROUND(((D377/30)*0),0)</f>
        <v>0</v>
      </c>
      <c r="E378" s="317"/>
    </row>
    <row r="379" spans="2:5" hidden="1" x14ac:dyDescent="0.25">
      <c r="B379" s="309"/>
      <c r="C379" s="294"/>
      <c r="D379" s="294"/>
      <c r="E379" s="312"/>
    </row>
    <row r="380" spans="2:5" ht="15.5" hidden="1" x14ac:dyDescent="0.35">
      <c r="B380" s="313" t="s">
        <v>950</v>
      </c>
      <c r="C380" s="299"/>
      <c r="D380" s="300">
        <f>D363+D374+D378</f>
        <v>0</v>
      </c>
      <c r="E380" s="318"/>
    </row>
    <row r="381" spans="2:5" ht="13" hidden="1" thickBot="1" x14ac:dyDescent="0.3">
      <c r="B381" s="314"/>
      <c r="C381" s="315"/>
      <c r="D381" s="315"/>
      <c r="E381" s="316"/>
    </row>
    <row r="382" spans="2:5" hidden="1" x14ac:dyDescent="0.25">
      <c r="B382" s="173" t="s">
        <v>952</v>
      </c>
    </row>
    <row r="383" spans="2:5" hidden="1" x14ac:dyDescent="0.25">
      <c r="B383" s="173" t="s">
        <v>953</v>
      </c>
    </row>
    <row r="384" spans="2:5" hidden="1" x14ac:dyDescent="0.25"/>
    <row r="385" hidden="1" x14ac:dyDescent="0.25"/>
    <row r="386" hidden="1" x14ac:dyDescent="0.25"/>
    <row r="387" hidden="1" x14ac:dyDescent="0.25"/>
    <row r="388" hidden="1" x14ac:dyDescent="0.25"/>
    <row r="389" hidden="1" x14ac:dyDescent="0.25"/>
    <row r="390" hidden="1" x14ac:dyDescent="0.25"/>
    <row r="391" hidden="1" x14ac:dyDescent="0.25"/>
    <row r="392" hidden="1" x14ac:dyDescent="0.25"/>
    <row r="393" hidden="1" x14ac:dyDescent="0.25"/>
    <row r="394" hidden="1" x14ac:dyDescent="0.25"/>
    <row r="395" hidden="1" x14ac:dyDescent="0.25"/>
    <row r="396" hidden="1" x14ac:dyDescent="0.25"/>
    <row r="397" hidden="1" x14ac:dyDescent="0.25"/>
    <row r="398" hidden="1" x14ac:dyDescent="0.25"/>
    <row r="399" hidden="1" x14ac:dyDescent="0.25"/>
    <row r="400" hidden="1" x14ac:dyDescent="0.25"/>
    <row r="401" hidden="1" x14ac:dyDescent="0.25"/>
    <row r="402" hidden="1" x14ac:dyDescent="0.25"/>
    <row r="403" hidden="1" x14ac:dyDescent="0.25"/>
    <row r="404" hidden="1" x14ac:dyDescent="0.25"/>
    <row r="405" hidden="1" x14ac:dyDescent="0.25"/>
    <row r="406" hidden="1" x14ac:dyDescent="0.25"/>
    <row r="407" hidden="1" x14ac:dyDescent="0.25"/>
    <row r="408" hidden="1" x14ac:dyDescent="0.25"/>
    <row r="409" hidden="1" x14ac:dyDescent="0.25"/>
    <row r="410" hidden="1" x14ac:dyDescent="0.25"/>
    <row r="411" hidden="1" x14ac:dyDescent="0.25"/>
    <row r="412" hidden="1" x14ac:dyDescent="0.25"/>
  </sheetData>
  <mergeCells count="144">
    <mergeCell ref="B353:C353"/>
    <mergeCell ref="D353:E353"/>
    <mergeCell ref="B354:E354"/>
    <mergeCell ref="B355:C355"/>
    <mergeCell ref="B366:C366"/>
    <mergeCell ref="B376:C376"/>
    <mergeCell ref="B342:E347"/>
    <mergeCell ref="B348:E348"/>
    <mergeCell ref="B349:E349"/>
    <mergeCell ref="B350:E350"/>
    <mergeCell ref="B351:E351"/>
    <mergeCell ref="B352:E352"/>
    <mergeCell ref="B236:C236"/>
    <mergeCell ref="B247:C247"/>
    <mergeCell ref="B257:C257"/>
    <mergeCell ref="B231:E231"/>
    <mergeCell ref="B232:E232"/>
    <mergeCell ref="B233:E233"/>
    <mergeCell ref="B234:C234"/>
    <mergeCell ref="D234:E234"/>
    <mergeCell ref="B235:E235"/>
    <mergeCell ref="B192:C192"/>
    <mergeCell ref="B203:C203"/>
    <mergeCell ref="B213:C213"/>
    <mergeCell ref="B223:E228"/>
    <mergeCell ref="B229:E229"/>
    <mergeCell ref="B230:E230"/>
    <mergeCell ref="B187:E187"/>
    <mergeCell ref="B188:E188"/>
    <mergeCell ref="B189:E189"/>
    <mergeCell ref="B190:C190"/>
    <mergeCell ref="D190:E190"/>
    <mergeCell ref="B191:E191"/>
    <mergeCell ref="B169:C169"/>
    <mergeCell ref="B179:E184"/>
    <mergeCell ref="B185:E185"/>
    <mergeCell ref="B186:E186"/>
    <mergeCell ref="B143:E143"/>
    <mergeCell ref="B144:E144"/>
    <mergeCell ref="B145:E145"/>
    <mergeCell ref="B146:C146"/>
    <mergeCell ref="D146:E146"/>
    <mergeCell ref="B147:E147"/>
    <mergeCell ref="G12:I12"/>
    <mergeCell ref="J12:L12"/>
    <mergeCell ref="G13:L13"/>
    <mergeCell ref="G14:I14"/>
    <mergeCell ref="J24:J25"/>
    <mergeCell ref="K24:K25"/>
    <mergeCell ref="L24:L25"/>
    <mergeCell ref="B148:C148"/>
    <mergeCell ref="B159:C159"/>
    <mergeCell ref="G54:L54"/>
    <mergeCell ref="B1:E6"/>
    <mergeCell ref="B7:E7"/>
    <mergeCell ref="B8:E8"/>
    <mergeCell ref="B9:E9"/>
    <mergeCell ref="B10:E10"/>
    <mergeCell ref="G25:I25"/>
    <mergeCell ref="B11:E11"/>
    <mergeCell ref="B12:C12"/>
    <mergeCell ref="D12:E12"/>
    <mergeCell ref="B13:E13"/>
    <mergeCell ref="B14:C14"/>
    <mergeCell ref="B25:C25"/>
    <mergeCell ref="G1:L6"/>
    <mergeCell ref="G7:L7"/>
    <mergeCell ref="G8:L8"/>
    <mergeCell ref="G9:L9"/>
    <mergeCell ref="G10:L10"/>
    <mergeCell ref="G35:H35"/>
    <mergeCell ref="G46:L51"/>
    <mergeCell ref="G52:L52"/>
    <mergeCell ref="G53:L53"/>
    <mergeCell ref="J39:L39"/>
    <mergeCell ref="G11:L11"/>
    <mergeCell ref="B56:E56"/>
    <mergeCell ref="B57:C57"/>
    <mergeCell ref="D57:E57"/>
    <mergeCell ref="B58:E58"/>
    <mergeCell ref="B59:C59"/>
    <mergeCell ref="B70:C70"/>
    <mergeCell ref="B35:C35"/>
    <mergeCell ref="B46:E51"/>
    <mergeCell ref="B52:E52"/>
    <mergeCell ref="B53:E53"/>
    <mergeCell ref="B54:E54"/>
    <mergeCell ref="B55:E55"/>
    <mergeCell ref="B125:C125"/>
    <mergeCell ref="G70:I70"/>
    <mergeCell ref="J57:L57"/>
    <mergeCell ref="B101:E101"/>
    <mergeCell ref="B102:C102"/>
    <mergeCell ref="D102:E102"/>
    <mergeCell ref="B103:E103"/>
    <mergeCell ref="B104:C104"/>
    <mergeCell ref="K69:K70"/>
    <mergeCell ref="L69:L70"/>
    <mergeCell ref="J84:L84"/>
    <mergeCell ref="G58:L58"/>
    <mergeCell ref="B80:C80"/>
    <mergeCell ref="B91:E96"/>
    <mergeCell ref="B97:E97"/>
    <mergeCell ref="J69:J70"/>
    <mergeCell ref="G80:H80"/>
    <mergeCell ref="G59:I59"/>
    <mergeCell ref="G91:L96"/>
    <mergeCell ref="G97:L97"/>
    <mergeCell ref="B100:E100"/>
    <mergeCell ref="B98:E98"/>
    <mergeCell ref="B99:E99"/>
    <mergeCell ref="G55:L55"/>
    <mergeCell ref="G56:L56"/>
    <mergeCell ref="G57:I57"/>
    <mergeCell ref="B267:E272"/>
    <mergeCell ref="B273:E273"/>
    <mergeCell ref="B274:E274"/>
    <mergeCell ref="B115:C115"/>
    <mergeCell ref="B135:E140"/>
    <mergeCell ref="B141:E141"/>
    <mergeCell ref="B142:E142"/>
    <mergeCell ref="G98:L98"/>
    <mergeCell ref="G99:L99"/>
    <mergeCell ref="G100:L100"/>
    <mergeCell ref="G101:L101"/>
    <mergeCell ref="G102:I102"/>
    <mergeCell ref="J102:L102"/>
    <mergeCell ref="G125:H125"/>
    <mergeCell ref="J129:L129"/>
    <mergeCell ref="G103:L103"/>
    <mergeCell ref="G104:I104"/>
    <mergeCell ref="J114:J115"/>
    <mergeCell ref="K114:K115"/>
    <mergeCell ref="L114:L115"/>
    <mergeCell ref="G115:I115"/>
    <mergeCell ref="B280:C280"/>
    <mergeCell ref="B291:C291"/>
    <mergeCell ref="B301:C301"/>
    <mergeCell ref="B275:E275"/>
    <mergeCell ref="B276:E276"/>
    <mergeCell ref="B277:E277"/>
    <mergeCell ref="B278:C278"/>
    <mergeCell ref="D278:E278"/>
    <mergeCell ref="B279:E279"/>
  </mergeCells>
  <printOptions horizontalCentered="1" verticalCentered="1"/>
  <pageMargins left="0" right="0" top="0.78740157480314965" bottom="0.78740157480314965" header="0" footer="0"/>
  <pageSetup scale="110" orientation="portrait"/>
  <headerFooter alignWithMargins="0">
    <oddHeader>&amp;C&amp;G</oddHeader>
    <oddFooter>&amp;CAvenida Carrera 24 No. 40 - 66. PBX: 2 17 07 11
www.bogotaturismo.gov.co</oddFooter>
  </headerFooter>
  <legacyDrawing r:id="rId1"/>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678DC8-1B35-4520-ABA6-F0D86A4E8620}">
  <sheetPr codeName="Hoja35"/>
  <dimension ref="A1:F23"/>
  <sheetViews>
    <sheetView workbookViewId="0">
      <selection activeCell="E18" sqref="E18"/>
    </sheetView>
  </sheetViews>
  <sheetFormatPr baseColWidth="10" defaultColWidth="8.7265625" defaultRowHeight="12.5" x14ac:dyDescent="0.25"/>
  <cols>
    <col min="1" max="1" width="12.453125" customWidth="1"/>
    <col min="2" max="2" width="33.81640625" bestFit="1" customWidth="1"/>
    <col min="3" max="3" width="16" customWidth="1"/>
    <col min="4" max="4" width="11.453125" customWidth="1"/>
    <col min="5" max="5" width="14.453125" bestFit="1" customWidth="1"/>
    <col min="6" max="6" width="24.81640625" customWidth="1"/>
    <col min="7" max="256" width="11.453125" customWidth="1"/>
  </cols>
  <sheetData>
    <row r="1" spans="1:6" ht="20" x14ac:dyDescent="0.25">
      <c r="A1" s="426" t="s">
        <v>1011</v>
      </c>
      <c r="B1" s="427"/>
      <c r="C1" s="427"/>
      <c r="D1" s="427"/>
      <c r="E1" s="427"/>
      <c r="F1" s="428"/>
    </row>
    <row r="2" spans="1:6" ht="20" x14ac:dyDescent="0.25">
      <c r="A2" s="429" t="e">
        <f>+#REF!</f>
        <v>#REF!</v>
      </c>
      <c r="B2" s="430"/>
      <c r="C2" s="430"/>
      <c r="D2" s="430"/>
      <c r="E2" s="430"/>
      <c r="F2" s="431"/>
    </row>
    <row r="3" spans="1:6" ht="15.5" x14ac:dyDescent="0.25">
      <c r="A3" s="432" t="e">
        <f>+#REF!</f>
        <v>#REF!</v>
      </c>
      <c r="B3" s="433"/>
      <c r="C3" s="433"/>
      <c r="D3" s="433"/>
      <c r="E3" s="433"/>
      <c r="F3" s="434"/>
    </row>
    <row r="4" spans="1:6" ht="15.5" x14ac:dyDescent="0.25">
      <c r="A4" s="432" t="e">
        <f>+#REF!</f>
        <v>#REF!</v>
      </c>
      <c r="B4" s="433"/>
      <c r="C4" s="433"/>
      <c r="D4" s="433"/>
      <c r="E4" s="433"/>
      <c r="F4" s="434"/>
    </row>
    <row r="5" spans="1:6" ht="15.5" x14ac:dyDescent="0.25">
      <c r="A5" s="432" t="e">
        <f>+#REF!</f>
        <v>#REF!</v>
      </c>
      <c r="B5" s="433"/>
      <c r="C5" s="433"/>
      <c r="D5" s="433"/>
      <c r="E5" s="433"/>
      <c r="F5" s="434"/>
    </row>
    <row r="6" spans="1:6" ht="16" thickBot="1" x14ac:dyDescent="0.3">
      <c r="A6" s="513"/>
      <c r="B6" s="514"/>
      <c r="C6" s="514"/>
      <c r="D6" s="514"/>
      <c r="E6" s="514"/>
      <c r="F6" s="515"/>
    </row>
    <row r="7" spans="1:6" ht="16" thickBot="1" x14ac:dyDescent="0.3">
      <c r="A7" s="504" t="s">
        <v>1012</v>
      </c>
      <c r="B7" s="505"/>
      <c r="C7" s="505"/>
      <c r="D7" s="505"/>
      <c r="E7" s="505"/>
      <c r="F7" s="506"/>
    </row>
    <row r="8" spans="1:6" ht="47" thickBot="1" x14ac:dyDescent="0.3">
      <c r="A8" s="325" t="s">
        <v>1013</v>
      </c>
      <c r="B8" s="326" t="s">
        <v>880</v>
      </c>
      <c r="C8" s="325" t="s">
        <v>1014</v>
      </c>
      <c r="D8" s="325" t="s">
        <v>1015</v>
      </c>
      <c r="E8" s="326" t="s">
        <v>1016</v>
      </c>
      <c r="F8" s="325" t="s">
        <v>1017</v>
      </c>
    </row>
    <row r="9" spans="1:6" ht="13" thickBot="1" x14ac:dyDescent="0.3">
      <c r="A9" s="188" t="e">
        <f>#REF!</f>
        <v>#REF!</v>
      </c>
      <c r="B9" s="189" t="e">
        <f>#REF!</f>
        <v>#REF!</v>
      </c>
      <c r="C9" s="172" t="e">
        <f>#REF!</f>
        <v>#REF!</v>
      </c>
      <c r="D9" s="190">
        <v>0</v>
      </c>
      <c r="E9" s="191">
        <v>24599024014</v>
      </c>
      <c r="F9" s="187" t="s">
        <v>1018</v>
      </c>
    </row>
    <row r="10" spans="1:6" ht="16" thickBot="1" x14ac:dyDescent="0.4">
      <c r="A10" s="327" t="s">
        <v>1019</v>
      </c>
      <c r="B10" s="328"/>
      <c r="C10" s="327"/>
      <c r="D10" s="329"/>
      <c r="E10" s="330"/>
      <c r="F10" s="329"/>
    </row>
    <row r="11" spans="1:6" ht="15.5" x14ac:dyDescent="0.35">
      <c r="A11" s="175"/>
      <c r="B11" s="170"/>
      <c r="C11" s="170"/>
      <c r="D11" s="176"/>
      <c r="E11" s="170"/>
      <c r="F11" s="179"/>
    </row>
    <row r="12" spans="1:6" ht="15.5" x14ac:dyDescent="0.35">
      <c r="A12" s="175"/>
      <c r="B12" s="170"/>
      <c r="C12" s="170"/>
      <c r="D12" s="176"/>
      <c r="E12" s="170"/>
      <c r="F12" s="179"/>
    </row>
    <row r="13" spans="1:6" ht="15.5" x14ac:dyDescent="0.35">
      <c r="A13" s="175"/>
      <c r="B13" s="170"/>
      <c r="C13" s="170"/>
      <c r="D13" s="176"/>
      <c r="E13" s="170"/>
      <c r="F13" s="179"/>
    </row>
    <row r="14" spans="1:6" ht="15.5" x14ac:dyDescent="0.35">
      <c r="A14" s="175"/>
      <c r="B14" s="170"/>
      <c r="C14" s="170"/>
      <c r="D14" s="176"/>
      <c r="E14" s="170"/>
      <c r="F14" s="179"/>
    </row>
    <row r="15" spans="1:6" ht="15.5" x14ac:dyDescent="0.35">
      <c r="A15" s="175"/>
      <c r="B15" s="170"/>
      <c r="C15" s="170"/>
      <c r="D15" s="170"/>
      <c r="E15" s="170"/>
      <c r="F15" s="179"/>
    </row>
    <row r="16" spans="1:6" ht="16" thickBot="1" x14ac:dyDescent="0.4">
      <c r="A16" s="184"/>
      <c r="B16" s="177"/>
      <c r="C16" s="170"/>
      <c r="D16" s="170"/>
      <c r="E16" s="177"/>
      <c r="F16" s="182"/>
    </row>
    <row r="17" spans="1:6" ht="15.75" customHeight="1" x14ac:dyDescent="0.35">
      <c r="A17" s="509" t="s">
        <v>908</v>
      </c>
      <c r="B17" s="510"/>
      <c r="C17" s="170"/>
      <c r="D17" s="178"/>
      <c r="E17" s="507" t="s">
        <v>1020</v>
      </c>
      <c r="F17" s="508"/>
    </row>
    <row r="18" spans="1:6" ht="15.5" x14ac:dyDescent="0.35">
      <c r="A18" s="511"/>
      <c r="B18" s="512"/>
      <c r="C18" s="170"/>
      <c r="D18" s="170"/>
      <c r="E18" s="170"/>
      <c r="F18" s="179"/>
    </row>
    <row r="19" spans="1:6" ht="15.5" x14ac:dyDescent="0.35">
      <c r="A19" s="175"/>
      <c r="B19" s="170"/>
      <c r="C19" s="170"/>
      <c r="D19" s="170"/>
      <c r="E19" s="170"/>
      <c r="F19" s="179"/>
    </row>
    <row r="20" spans="1:6" ht="15.5" x14ac:dyDescent="0.35">
      <c r="A20" s="181"/>
      <c r="B20" s="170"/>
      <c r="C20" s="170"/>
      <c r="D20" s="170"/>
      <c r="E20" s="170"/>
      <c r="F20" s="179"/>
    </row>
    <row r="21" spans="1:6" ht="15.5" x14ac:dyDescent="0.35">
      <c r="A21" s="165" t="s">
        <v>910</v>
      </c>
      <c r="B21" s="170"/>
      <c r="C21" s="170"/>
      <c r="D21" s="170"/>
      <c r="E21" s="170"/>
      <c r="F21" s="179"/>
    </row>
    <row r="22" spans="1:6" ht="15.5" x14ac:dyDescent="0.35">
      <c r="A22" s="165" t="s">
        <v>995</v>
      </c>
      <c r="B22" s="170"/>
      <c r="C22" s="170"/>
      <c r="D22" s="170"/>
      <c r="E22" s="170"/>
      <c r="F22" s="179"/>
    </row>
    <row r="23" spans="1:6" ht="16" thickBot="1" x14ac:dyDescent="0.4">
      <c r="A23" s="166" t="s">
        <v>1021</v>
      </c>
      <c r="B23" s="177"/>
      <c r="C23" s="177"/>
      <c r="D23" s="177"/>
      <c r="E23" s="177"/>
      <c r="F23" s="182"/>
    </row>
  </sheetData>
  <mergeCells count="9">
    <mergeCell ref="A7:F7"/>
    <mergeCell ref="E17:F17"/>
    <mergeCell ref="A17:B18"/>
    <mergeCell ref="A1:F1"/>
    <mergeCell ref="A2:F2"/>
    <mergeCell ref="A3:F3"/>
    <mergeCell ref="A4:F4"/>
    <mergeCell ref="A5:F5"/>
    <mergeCell ref="A6:F6"/>
  </mergeCells>
  <pageMargins left="0.7" right="0.7" top="0.75" bottom="0.75" header="0.3" footer="0.3"/>
  <pageSetup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85111D-DA4A-4CEF-9ACB-9CAD8B90DC77}">
  <sheetPr codeName="Hoja12">
    <tabColor theme="4" tint="0.39997558519241921"/>
    <pageSetUpPr fitToPage="1"/>
  </sheetPr>
  <dimension ref="A1:HX23"/>
  <sheetViews>
    <sheetView workbookViewId="0">
      <selection activeCell="D10" sqref="D10"/>
    </sheetView>
  </sheetViews>
  <sheetFormatPr baseColWidth="10" defaultColWidth="11.7265625" defaultRowHeight="15.5" x14ac:dyDescent="0.35"/>
  <cols>
    <col min="1" max="1" width="21.7265625" style="170" customWidth="1"/>
    <col min="2" max="2" width="34" style="170" customWidth="1"/>
    <col min="3" max="4" width="17.453125" style="170" customWidth="1"/>
    <col min="5" max="5" width="19.7265625" style="170" bestFit="1" customWidth="1"/>
    <col min="6" max="6" width="29.1796875" style="170" customWidth="1"/>
    <col min="7" max="16384" width="11.7265625" style="170"/>
  </cols>
  <sheetData>
    <row r="1" spans="1:232" ht="20" x14ac:dyDescent="0.35">
      <c r="A1" s="426" t="s">
        <v>1011</v>
      </c>
      <c r="B1" s="427"/>
      <c r="C1" s="427"/>
      <c r="D1" s="427"/>
      <c r="E1" s="427"/>
      <c r="F1" s="428"/>
    </row>
    <row r="2" spans="1:232" ht="20" x14ac:dyDescent="0.35">
      <c r="A2" s="429" t="e">
        <f>+#REF!</f>
        <v>#REF!</v>
      </c>
      <c r="B2" s="430"/>
      <c r="C2" s="430"/>
      <c r="D2" s="430"/>
      <c r="E2" s="430"/>
      <c r="F2" s="431"/>
    </row>
    <row r="3" spans="1:232" x14ac:dyDescent="0.35">
      <c r="A3" s="432" t="e">
        <f>+#REF!</f>
        <v>#REF!</v>
      </c>
      <c r="B3" s="433"/>
      <c r="C3" s="433"/>
      <c r="D3" s="433"/>
      <c r="E3" s="433"/>
      <c r="F3" s="434"/>
    </row>
    <row r="4" spans="1:232" x14ac:dyDescent="0.35">
      <c r="A4" s="432" t="e">
        <f>+#REF!</f>
        <v>#REF!</v>
      </c>
      <c r="B4" s="433"/>
      <c r="C4" s="433"/>
      <c r="D4" s="433"/>
      <c r="E4" s="433"/>
      <c r="F4" s="434"/>
    </row>
    <row r="5" spans="1:232" x14ac:dyDescent="0.35">
      <c r="A5" s="432" t="e">
        <f>+#REF!</f>
        <v>#REF!</v>
      </c>
      <c r="B5" s="433"/>
      <c r="C5" s="433"/>
      <c r="D5" s="433"/>
      <c r="E5" s="433"/>
      <c r="F5" s="434"/>
    </row>
    <row r="6" spans="1:232" s="180" customFormat="1" ht="18" customHeight="1" thickBot="1" x14ac:dyDescent="0.4">
      <c r="A6" s="513"/>
      <c r="B6" s="514"/>
      <c r="C6" s="514"/>
      <c r="D6" s="514"/>
      <c r="E6" s="514"/>
      <c r="F6" s="515"/>
      <c r="HX6" s="170"/>
    </row>
    <row r="7" spans="1:232" ht="21" customHeight="1" thickBot="1" x14ac:dyDescent="0.4">
      <c r="A7" s="504" t="s">
        <v>1012</v>
      </c>
      <c r="B7" s="505"/>
      <c r="C7" s="505"/>
      <c r="D7" s="505"/>
      <c r="E7" s="505"/>
      <c r="F7" s="506"/>
      <c r="H7" s="322"/>
      <c r="I7" s="323"/>
    </row>
    <row r="8" spans="1:232" s="185" customFormat="1" ht="46" customHeight="1" thickBot="1" x14ac:dyDescent="0.4">
      <c r="A8" s="325" t="s">
        <v>1013</v>
      </c>
      <c r="B8" s="326" t="s">
        <v>880</v>
      </c>
      <c r="C8" s="325" t="s">
        <v>1014</v>
      </c>
      <c r="D8" s="325" t="s">
        <v>1015</v>
      </c>
      <c r="E8" s="326" t="s">
        <v>1016</v>
      </c>
      <c r="F8" s="325" t="s">
        <v>1017</v>
      </c>
      <c r="HX8" s="186"/>
    </row>
    <row r="9" spans="1:232" s="183" customFormat="1" ht="18.75" customHeight="1" thickBot="1" x14ac:dyDescent="0.3">
      <c r="A9" s="188">
        <v>51983119</v>
      </c>
      <c r="B9" s="189" t="s">
        <v>1022</v>
      </c>
      <c r="C9" s="172" t="e">
        <f>#REF!</f>
        <v>#REF!</v>
      </c>
      <c r="D9" s="190">
        <v>0</v>
      </c>
      <c r="E9" s="191">
        <v>24599024014</v>
      </c>
      <c r="F9" s="187" t="s">
        <v>1023</v>
      </c>
    </row>
    <row r="10" spans="1:232" ht="16" thickBot="1" x14ac:dyDescent="0.4">
      <c r="A10" s="327" t="s">
        <v>1019</v>
      </c>
      <c r="B10" s="328"/>
      <c r="C10" s="327"/>
      <c r="D10" s="329">
        <f>SUM(D9:D9)</f>
        <v>0</v>
      </c>
      <c r="E10" s="330"/>
      <c r="F10" s="329"/>
    </row>
    <row r="11" spans="1:232" x14ac:dyDescent="0.35">
      <c r="A11" s="175"/>
      <c r="D11" s="176"/>
      <c r="F11" s="179"/>
    </row>
    <row r="12" spans="1:232" x14ac:dyDescent="0.35">
      <c r="A12" s="175"/>
      <c r="D12" s="176"/>
      <c r="F12" s="179"/>
    </row>
    <row r="13" spans="1:232" x14ac:dyDescent="0.35">
      <c r="A13" s="175"/>
      <c r="D13" s="176"/>
      <c r="F13" s="179"/>
    </row>
    <row r="14" spans="1:232" x14ac:dyDescent="0.35">
      <c r="A14" s="175"/>
      <c r="D14" s="176"/>
      <c r="F14" s="179"/>
    </row>
    <row r="15" spans="1:232" x14ac:dyDescent="0.35">
      <c r="A15" s="175"/>
      <c r="F15" s="179"/>
    </row>
    <row r="16" spans="1:232" ht="16" thickBot="1" x14ac:dyDescent="0.4">
      <c r="A16" s="184"/>
      <c r="B16" s="177"/>
      <c r="E16" s="177"/>
      <c r="F16" s="182"/>
    </row>
    <row r="17" spans="1:6" ht="42.75" customHeight="1" x14ac:dyDescent="0.35">
      <c r="A17" s="516" t="s">
        <v>908</v>
      </c>
      <c r="B17" s="507"/>
      <c r="D17" s="178"/>
      <c r="E17" s="507" t="s">
        <v>1020</v>
      </c>
      <c r="F17" s="508"/>
    </row>
    <row r="18" spans="1:6" x14ac:dyDescent="0.35">
      <c r="A18" s="175"/>
      <c r="F18" s="179"/>
    </row>
    <row r="19" spans="1:6" x14ac:dyDescent="0.35">
      <c r="A19" s="175"/>
      <c r="F19" s="179"/>
    </row>
    <row r="20" spans="1:6" x14ac:dyDescent="0.35">
      <c r="A20" s="181"/>
      <c r="F20" s="179"/>
    </row>
    <row r="21" spans="1:6" x14ac:dyDescent="0.35">
      <c r="A21" s="165" t="s">
        <v>910</v>
      </c>
      <c r="F21" s="179"/>
    </row>
    <row r="22" spans="1:6" x14ac:dyDescent="0.35">
      <c r="A22" s="165" t="s">
        <v>995</v>
      </c>
      <c r="F22" s="179"/>
    </row>
    <row r="23" spans="1:6" ht="16" thickBot="1" x14ac:dyDescent="0.4">
      <c r="A23" s="166" t="s">
        <v>1021</v>
      </c>
      <c r="B23" s="177"/>
      <c r="C23" s="177"/>
      <c r="D23" s="177"/>
      <c r="E23" s="177"/>
      <c r="F23" s="182"/>
    </row>
  </sheetData>
  <mergeCells count="9">
    <mergeCell ref="A17:B17"/>
    <mergeCell ref="E17:F17"/>
    <mergeCell ref="A7:F7"/>
    <mergeCell ref="A1:F1"/>
    <mergeCell ref="A2:F2"/>
    <mergeCell ref="A3:F3"/>
    <mergeCell ref="A4:F4"/>
    <mergeCell ref="A5:F5"/>
    <mergeCell ref="A6:F6"/>
  </mergeCells>
  <phoneticPr fontId="6" type="noConversion"/>
  <printOptions horizontalCentered="1" verticalCentered="1"/>
  <pageMargins left="0.78740157480314965" right="0.78740157480314965" top="0.94488188976377963" bottom="0.31496062992125984" header="0.78740157480314965" footer="0.59055118110236227"/>
  <pageSetup scale="88" firstPageNumber="0" orientation="landscape"/>
  <headerFooter alignWithMargins="0">
    <oddHeader>&amp;C&amp;G</oddHeader>
    <oddFooter>&amp;CCalle 70 No. 7 - 40. Teléfono: 2 17 07 11  Fax: 2 17 07 11   Ext 201 - 335
www.bogotaturismo.gov.co</oddFooter>
  </headerFooter>
  <legacyDrawingHF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058265-442E-49AF-B19D-D4E1EED0C7EF}">
  <sheetPr>
    <tabColor theme="4" tint="0.39997558519241921"/>
    <pageSetUpPr fitToPage="1"/>
  </sheetPr>
  <dimension ref="A1:HX23"/>
  <sheetViews>
    <sheetView workbookViewId="0">
      <selection activeCell="D10" sqref="D10"/>
    </sheetView>
  </sheetViews>
  <sheetFormatPr baseColWidth="10" defaultColWidth="11.7265625" defaultRowHeight="15.5" x14ac:dyDescent="0.35"/>
  <cols>
    <col min="1" max="1" width="21.7265625" style="170" customWidth="1"/>
    <col min="2" max="2" width="36" style="170" customWidth="1"/>
    <col min="3" max="4" width="17.453125" style="170" customWidth="1"/>
    <col min="5" max="5" width="22.7265625" style="170" customWidth="1"/>
    <col min="6" max="6" width="29.1796875" style="170" customWidth="1"/>
    <col min="7" max="16384" width="11.7265625" style="170"/>
  </cols>
  <sheetData>
    <row r="1" spans="1:232" ht="20" x14ac:dyDescent="0.35">
      <c r="A1" s="426" t="s">
        <v>1011</v>
      </c>
      <c r="B1" s="427"/>
      <c r="C1" s="427"/>
      <c r="D1" s="427"/>
      <c r="E1" s="427"/>
      <c r="F1" s="428"/>
    </row>
    <row r="2" spans="1:232" ht="20" x14ac:dyDescent="0.35">
      <c r="A2" s="429" t="e">
        <f>+#REF!</f>
        <v>#REF!</v>
      </c>
      <c r="B2" s="430"/>
      <c r="C2" s="430"/>
      <c r="D2" s="430"/>
      <c r="E2" s="430"/>
      <c r="F2" s="431"/>
    </row>
    <row r="3" spans="1:232" x14ac:dyDescent="0.35">
      <c r="A3" s="432" t="e">
        <f>+#REF!</f>
        <v>#REF!</v>
      </c>
      <c r="B3" s="433"/>
      <c r="C3" s="433"/>
      <c r="D3" s="433"/>
      <c r="E3" s="433"/>
      <c r="F3" s="434"/>
    </row>
    <row r="4" spans="1:232" x14ac:dyDescent="0.35">
      <c r="A4" s="432" t="e">
        <f>+#REF!</f>
        <v>#REF!</v>
      </c>
      <c r="B4" s="433"/>
      <c r="C4" s="433"/>
      <c r="D4" s="433"/>
      <c r="E4" s="433"/>
      <c r="F4" s="434"/>
    </row>
    <row r="5" spans="1:232" x14ac:dyDescent="0.35">
      <c r="A5" s="432" t="e">
        <f>+#REF!</f>
        <v>#REF!</v>
      </c>
      <c r="B5" s="433"/>
      <c r="C5" s="433"/>
      <c r="D5" s="433"/>
      <c r="E5" s="433"/>
      <c r="F5" s="434"/>
    </row>
    <row r="6" spans="1:232" s="180" customFormat="1" ht="18" customHeight="1" thickBot="1" x14ac:dyDescent="0.4">
      <c r="A6" s="513"/>
      <c r="B6" s="514"/>
      <c r="C6" s="514"/>
      <c r="D6" s="514"/>
      <c r="E6" s="514"/>
      <c r="F6" s="515"/>
      <c r="HX6" s="170"/>
    </row>
    <row r="7" spans="1:232" ht="21" customHeight="1" thickBot="1" x14ac:dyDescent="0.4">
      <c r="A7" s="504" t="s">
        <v>1024</v>
      </c>
      <c r="B7" s="505"/>
      <c r="C7" s="505"/>
      <c r="D7" s="505"/>
      <c r="E7" s="505"/>
      <c r="F7" s="506"/>
      <c r="H7" s="322"/>
      <c r="I7" s="323"/>
    </row>
    <row r="8" spans="1:232" s="185" customFormat="1" ht="46" customHeight="1" thickBot="1" x14ac:dyDescent="0.4">
      <c r="A8" s="325" t="s">
        <v>1013</v>
      </c>
      <c r="B8" s="326" t="s">
        <v>880</v>
      </c>
      <c r="C8" s="325" t="s">
        <v>1014</v>
      </c>
      <c r="D8" s="325" t="s">
        <v>1015</v>
      </c>
      <c r="E8" s="326" t="s">
        <v>1025</v>
      </c>
      <c r="F8" s="325" t="s">
        <v>1017</v>
      </c>
      <c r="HX8" s="186"/>
    </row>
    <row r="9" spans="1:232" s="183" customFormat="1" ht="18.75" customHeight="1" thickBot="1" x14ac:dyDescent="0.3">
      <c r="A9" s="188">
        <v>79940367</v>
      </c>
      <c r="B9" s="189" t="s">
        <v>1026</v>
      </c>
      <c r="C9" s="172" t="e">
        <f>#REF!</f>
        <v>#REF!</v>
      </c>
      <c r="D9" s="190">
        <v>0</v>
      </c>
      <c r="E9" s="352">
        <v>119828105</v>
      </c>
      <c r="F9" s="187" t="s">
        <v>1027</v>
      </c>
    </row>
    <row r="10" spans="1:232" ht="16" thickBot="1" x14ac:dyDescent="0.4">
      <c r="A10" s="327" t="s">
        <v>1019</v>
      </c>
      <c r="B10" s="328"/>
      <c r="C10" s="327"/>
      <c r="D10" s="329">
        <f>SUM(D9:D9)</f>
        <v>0</v>
      </c>
      <c r="E10" s="330"/>
      <c r="F10" s="329"/>
    </row>
    <row r="11" spans="1:232" x14ac:dyDescent="0.35">
      <c r="A11" s="175"/>
      <c r="D11" s="176"/>
      <c r="F11" s="179"/>
    </row>
    <row r="12" spans="1:232" x14ac:dyDescent="0.35">
      <c r="A12" s="175"/>
      <c r="C12" s="336"/>
      <c r="D12" s="176"/>
      <c r="F12" s="179"/>
    </row>
    <row r="13" spans="1:232" x14ac:dyDescent="0.35">
      <c r="A13" s="175"/>
      <c r="C13" s="351"/>
      <c r="D13" s="176"/>
      <c r="F13" s="179"/>
    </row>
    <row r="14" spans="1:232" x14ac:dyDescent="0.35">
      <c r="A14" s="175"/>
      <c r="C14" s="336"/>
      <c r="D14" s="176"/>
      <c r="F14" s="179"/>
    </row>
    <row r="15" spans="1:232" x14ac:dyDescent="0.35">
      <c r="A15" s="175"/>
      <c r="F15" s="179"/>
    </row>
    <row r="16" spans="1:232" ht="16" thickBot="1" x14ac:dyDescent="0.4">
      <c r="A16" s="184"/>
      <c r="B16" s="177"/>
      <c r="E16" s="177"/>
      <c r="F16" s="182"/>
    </row>
    <row r="17" spans="1:6" ht="42.75" customHeight="1" x14ac:dyDescent="0.35">
      <c r="A17" s="516" t="s">
        <v>908</v>
      </c>
      <c r="B17" s="507"/>
      <c r="D17" s="178"/>
      <c r="E17" s="507" t="s">
        <v>1020</v>
      </c>
      <c r="F17" s="508"/>
    </row>
    <row r="18" spans="1:6" x14ac:dyDescent="0.35">
      <c r="A18" s="175"/>
      <c r="F18" s="179"/>
    </row>
    <row r="19" spans="1:6" x14ac:dyDescent="0.35">
      <c r="A19" s="175"/>
      <c r="F19" s="179"/>
    </row>
    <row r="20" spans="1:6" x14ac:dyDescent="0.35">
      <c r="A20" s="181"/>
      <c r="F20" s="179"/>
    </row>
    <row r="21" spans="1:6" x14ac:dyDescent="0.35">
      <c r="A21" s="165" t="s">
        <v>910</v>
      </c>
      <c r="F21" s="179"/>
    </row>
    <row r="22" spans="1:6" x14ac:dyDescent="0.35">
      <c r="A22" s="165" t="s">
        <v>995</v>
      </c>
      <c r="F22" s="179"/>
    </row>
    <row r="23" spans="1:6" ht="16" thickBot="1" x14ac:dyDescent="0.4">
      <c r="A23" s="166" t="s">
        <v>912</v>
      </c>
      <c r="B23" s="177"/>
      <c r="C23" s="177"/>
      <c r="D23" s="177"/>
      <c r="E23" s="177"/>
      <c r="F23" s="182"/>
    </row>
  </sheetData>
  <mergeCells count="9">
    <mergeCell ref="A7:F7"/>
    <mergeCell ref="A17:B17"/>
    <mergeCell ref="E17:F17"/>
    <mergeCell ref="A1:F1"/>
    <mergeCell ref="A2:F2"/>
    <mergeCell ref="A3:F3"/>
    <mergeCell ref="A4:F4"/>
    <mergeCell ref="A5:F5"/>
    <mergeCell ref="A6:F6"/>
  </mergeCells>
  <printOptions horizontalCentered="1" verticalCentered="1"/>
  <pageMargins left="0.70866141732283472" right="0.70866141732283472" top="0.74803149606299213" bottom="0.74803149606299213" header="0.31496062992125984" footer="0.31496062992125984"/>
  <pageSetup scale="86" orientation="landscape" horizontalDpi="300" verticalDpi="300"/>
  <headerFooter>
    <oddHeader>&amp;C&amp;G</oddHeader>
    <oddFooter>&amp;CAvenida Carrera 24 No. 40 - 66. PBX: 2 17 07 11
www.bogotaturismo.gov.co</oddFooter>
  </headerFooter>
  <legacyDrawingHF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8C3D54-E877-4059-A016-C4D4D60C1F25}">
  <sheetPr codeName="Hoja37"/>
  <dimension ref="A1:BG235"/>
  <sheetViews>
    <sheetView topLeftCell="A2" workbookViewId="0">
      <pane xSplit="4" ySplit="2" topLeftCell="G4" activePane="bottomRight" state="frozen"/>
      <selection pane="topRight" activeCell="E2" sqref="E2"/>
      <selection pane="bottomLeft" activeCell="A4" sqref="A4"/>
      <selection pane="bottomRight" activeCell="L9" sqref="L9"/>
    </sheetView>
  </sheetViews>
  <sheetFormatPr baseColWidth="10" defaultColWidth="11.453125" defaultRowHeight="10" x14ac:dyDescent="0.2"/>
  <cols>
    <col min="1" max="1" width="11.7265625" style="192" customWidth="1"/>
    <col min="2" max="2" width="9.1796875" style="192" customWidth="1"/>
    <col min="3" max="3" width="36.453125" style="192" customWidth="1"/>
    <col min="4" max="4" width="21.81640625" style="192" customWidth="1"/>
    <col min="5" max="5" width="10.453125" style="192" customWidth="1"/>
    <col min="6" max="6" width="11.26953125" style="192" customWidth="1"/>
    <col min="7" max="7" width="12.26953125" style="192" customWidth="1"/>
    <col min="8" max="8" width="19" style="192" customWidth="1"/>
    <col min="9" max="9" width="15.453125" style="192" customWidth="1"/>
    <col min="10" max="10" width="12.81640625" style="192" customWidth="1"/>
    <col min="11" max="11" width="15.1796875" style="192" customWidth="1"/>
    <col min="12" max="12" width="15" style="192" customWidth="1"/>
    <col min="13" max="13" width="18.26953125" style="192" customWidth="1"/>
    <col min="14" max="14" width="17.453125" style="192" customWidth="1"/>
    <col min="15" max="15" width="15.7265625" style="192" customWidth="1"/>
    <col min="16" max="16" width="16.453125" style="192" customWidth="1"/>
    <col min="17" max="17" width="13.7265625" style="192" customWidth="1"/>
    <col min="18" max="18" width="18.81640625" style="192" customWidth="1"/>
    <col min="19" max="19" width="15.81640625" style="192" customWidth="1"/>
    <col min="20" max="20" width="11.26953125" style="192" bestFit="1" customWidth="1"/>
    <col min="21" max="21" width="10.1796875" style="192" customWidth="1"/>
    <col min="22" max="22" width="16.26953125" style="192" customWidth="1"/>
    <col min="23" max="23" width="11.7265625" style="192" customWidth="1"/>
    <col min="24" max="24" width="12.26953125" style="192" bestFit="1" customWidth="1"/>
    <col min="25" max="25" width="11.1796875" style="192" bestFit="1" customWidth="1"/>
    <col min="26" max="26" width="10.453125" style="192" bestFit="1" customWidth="1"/>
    <col min="27" max="27" width="11.1796875" style="192" bestFit="1" customWidth="1"/>
    <col min="28" max="28" width="12.26953125" style="192" bestFit="1" customWidth="1"/>
    <col min="29" max="30" width="11.26953125" style="192" bestFit="1" customWidth="1"/>
    <col min="31" max="31" width="11.1796875" style="192" bestFit="1" customWidth="1"/>
    <col min="32" max="32" width="8.26953125" style="192" bestFit="1" customWidth="1"/>
    <col min="33" max="33" width="11.1796875" style="192" bestFit="1" customWidth="1"/>
    <col min="34" max="34" width="11.26953125" style="192" bestFit="1" customWidth="1"/>
    <col min="35" max="35" width="9.81640625" style="192" bestFit="1" customWidth="1"/>
    <col min="36" max="36" width="11.26953125" style="192" bestFit="1" customWidth="1"/>
    <col min="37" max="37" width="10.453125" style="192" bestFit="1" customWidth="1"/>
    <col min="38" max="38" width="12.26953125" style="192" bestFit="1" customWidth="1"/>
    <col min="39" max="39" width="11.1796875" style="192" bestFit="1" customWidth="1"/>
    <col min="40" max="40" width="11.26953125" style="192" bestFit="1" customWidth="1"/>
    <col min="41" max="41" width="11.1796875" style="192" bestFit="1" customWidth="1"/>
    <col min="42" max="42" width="12.26953125" style="192" bestFit="1" customWidth="1"/>
    <col min="43" max="43" width="11.26953125" style="192" bestFit="1" customWidth="1"/>
    <col min="44" max="44" width="10.7265625" style="192" bestFit="1" customWidth="1"/>
    <col min="45" max="45" width="11.1796875" style="192" bestFit="1" customWidth="1"/>
    <col min="46" max="46" width="10.7265625" style="192" bestFit="1" customWidth="1"/>
    <col min="47" max="47" width="11.1796875" style="192" bestFit="1" customWidth="1"/>
    <col min="48" max="48" width="10.7265625" style="192" customWidth="1"/>
    <col min="49" max="49" width="11.453125" style="192"/>
    <col min="50" max="50" width="11.26953125" style="192" bestFit="1" customWidth="1"/>
    <col min="51" max="51" width="12.7265625" style="192" customWidth="1"/>
    <col min="52" max="52" width="11.26953125" style="192" bestFit="1" customWidth="1"/>
    <col min="53" max="53" width="14.1796875" style="192" customWidth="1"/>
    <col min="54" max="54" width="12.26953125" style="192" bestFit="1" customWidth="1"/>
    <col min="55" max="55" width="13.1796875" style="192" bestFit="1" customWidth="1"/>
    <col min="56" max="58" width="11.453125" style="192"/>
    <col min="59" max="59" width="17.81640625" style="192" bestFit="1" customWidth="1"/>
    <col min="60" max="16384" width="11.453125" style="192"/>
  </cols>
  <sheetData>
    <row r="1" spans="1:57" hidden="1" x14ac:dyDescent="0.2">
      <c r="A1" s="518" t="s">
        <v>1028</v>
      </c>
      <c r="B1" s="519"/>
      <c r="C1" s="519"/>
      <c r="D1" s="519"/>
      <c r="E1" s="519"/>
      <c r="F1" s="519"/>
      <c r="G1" s="519"/>
      <c r="H1" s="519"/>
      <c r="I1" s="519"/>
      <c r="J1" s="519"/>
      <c r="K1" s="519"/>
      <c r="L1" s="519"/>
      <c r="M1" s="519"/>
      <c r="N1" s="519"/>
      <c r="O1" s="519"/>
      <c r="P1" s="519"/>
      <c r="Q1" s="519"/>
      <c r="R1" s="519"/>
      <c r="S1" s="519"/>
      <c r="T1" s="519"/>
      <c r="U1" s="519"/>
      <c r="V1" s="519"/>
      <c r="W1" s="519"/>
      <c r="X1" s="519"/>
      <c r="Y1" s="519"/>
      <c r="Z1" s="519"/>
      <c r="AA1" s="519"/>
      <c r="AB1" s="519"/>
      <c r="AC1" s="519"/>
      <c r="AD1" s="519"/>
      <c r="AE1" s="519"/>
      <c r="AF1" s="519"/>
      <c r="AG1" s="519"/>
      <c r="AH1" s="519"/>
      <c r="AI1" s="519"/>
      <c r="AJ1" s="519"/>
      <c r="AK1" s="519"/>
      <c r="AL1" s="519"/>
      <c r="AM1" s="519"/>
      <c r="AN1" s="519"/>
      <c r="AO1" s="519"/>
      <c r="AP1" s="519"/>
      <c r="AQ1" s="519"/>
      <c r="AR1" s="519"/>
      <c r="AS1" s="519"/>
      <c r="AT1" s="519"/>
      <c r="AU1" s="519"/>
      <c r="AV1" s="519"/>
      <c r="AW1" s="520"/>
      <c r="AX1" s="519"/>
      <c r="AY1" s="520"/>
      <c r="AZ1" s="519"/>
      <c r="BA1" s="521"/>
      <c r="BB1" s="248"/>
      <c r="BC1" s="193"/>
      <c r="BD1" s="193"/>
      <c r="BE1" s="193"/>
    </row>
    <row r="2" spans="1:57" x14ac:dyDescent="0.2">
      <c r="A2" s="522" t="s">
        <v>1029</v>
      </c>
      <c r="B2" s="524" t="s">
        <v>1030</v>
      </c>
      <c r="C2" s="526" t="s">
        <v>1031</v>
      </c>
      <c r="D2" s="526" t="s">
        <v>1032</v>
      </c>
      <c r="E2" s="528" t="s">
        <v>1033</v>
      </c>
      <c r="F2" s="528" t="s">
        <v>1034</v>
      </c>
      <c r="G2" s="526" t="s">
        <v>1035</v>
      </c>
      <c r="H2" s="526" t="s">
        <v>1036</v>
      </c>
      <c r="I2" s="526" t="s">
        <v>1037</v>
      </c>
      <c r="J2" s="526" t="s">
        <v>1038</v>
      </c>
      <c r="K2" s="526" t="s">
        <v>1039</v>
      </c>
      <c r="L2" s="526" t="s">
        <v>1040</v>
      </c>
      <c r="M2" s="526" t="s">
        <v>1041</v>
      </c>
      <c r="N2" s="526" t="s">
        <v>1042</v>
      </c>
      <c r="O2" s="528" t="s">
        <v>1043</v>
      </c>
      <c r="P2" s="528" t="s">
        <v>1044</v>
      </c>
      <c r="Q2" s="528" t="s">
        <v>1045</v>
      </c>
      <c r="R2" s="528" t="s">
        <v>1046</v>
      </c>
      <c r="S2" s="528" t="s">
        <v>1047</v>
      </c>
      <c r="T2" s="528" t="s">
        <v>1048</v>
      </c>
      <c r="U2" s="528" t="s">
        <v>1049</v>
      </c>
      <c r="V2" s="545" t="s">
        <v>1050</v>
      </c>
      <c r="W2" s="547"/>
      <c r="X2" s="547"/>
      <c r="Y2" s="547"/>
      <c r="Z2" s="547"/>
      <c r="AA2" s="547"/>
      <c r="AB2" s="547"/>
      <c r="AC2" s="547"/>
      <c r="AD2" s="547"/>
      <c r="AE2" s="547"/>
      <c r="AF2" s="547"/>
      <c r="AG2" s="547"/>
      <c r="AH2" s="547"/>
      <c r="AI2" s="517" t="s">
        <v>1051</v>
      </c>
      <c r="AJ2" s="517"/>
      <c r="AK2" s="517" t="s">
        <v>1052</v>
      </c>
      <c r="AL2" s="517"/>
      <c r="AM2" s="517"/>
      <c r="AN2" s="517"/>
      <c r="AO2" s="517"/>
      <c r="AP2" s="517"/>
      <c r="AQ2" s="517"/>
      <c r="AR2" s="517"/>
      <c r="AS2" s="517"/>
      <c r="AT2" s="517"/>
      <c r="AU2" s="517"/>
      <c r="AV2" s="548" t="s">
        <v>1052</v>
      </c>
      <c r="AW2" s="517"/>
      <c r="AX2" s="303"/>
      <c r="AY2" s="304"/>
      <c r="AZ2" s="526" t="s">
        <v>1053</v>
      </c>
      <c r="BA2" s="526"/>
      <c r="BB2" s="530" t="s">
        <v>1054</v>
      </c>
      <c r="BC2" s="193"/>
      <c r="BD2" s="193"/>
    </row>
    <row r="3" spans="1:57" ht="53" thickBot="1" x14ac:dyDescent="0.25">
      <c r="A3" s="523"/>
      <c r="B3" s="525"/>
      <c r="C3" s="527"/>
      <c r="D3" s="527"/>
      <c r="E3" s="529"/>
      <c r="F3" s="529"/>
      <c r="G3" s="527"/>
      <c r="H3" s="527"/>
      <c r="I3" s="527"/>
      <c r="J3" s="527"/>
      <c r="K3" s="527"/>
      <c r="L3" s="527"/>
      <c r="M3" s="527"/>
      <c r="N3" s="527"/>
      <c r="O3" s="529"/>
      <c r="P3" s="529"/>
      <c r="Q3" s="529"/>
      <c r="R3" s="529"/>
      <c r="S3" s="529"/>
      <c r="T3" s="529"/>
      <c r="U3" s="529"/>
      <c r="V3" s="546"/>
      <c r="W3" s="197" t="s">
        <v>1055</v>
      </c>
      <c r="X3" s="197" t="s">
        <v>1056</v>
      </c>
      <c r="Y3" s="197" t="s">
        <v>1057</v>
      </c>
      <c r="Z3" s="197" t="s">
        <v>1056</v>
      </c>
      <c r="AA3" s="305" t="s">
        <v>893</v>
      </c>
      <c r="AB3" s="198" t="s">
        <v>893</v>
      </c>
      <c r="AC3" s="197" t="s">
        <v>1058</v>
      </c>
      <c r="AD3" s="197" t="s">
        <v>1056</v>
      </c>
      <c r="AE3" s="197" t="s">
        <v>1059</v>
      </c>
      <c r="AF3" s="197" t="s">
        <v>1056</v>
      </c>
      <c r="AG3" s="305" t="s">
        <v>893</v>
      </c>
      <c r="AH3" s="306"/>
      <c r="AI3" s="198" t="s">
        <v>893</v>
      </c>
      <c r="AJ3" s="198" t="s">
        <v>1060</v>
      </c>
      <c r="AK3" s="197" t="s">
        <v>1061</v>
      </c>
      <c r="AL3" s="197" t="s">
        <v>1056</v>
      </c>
      <c r="AM3" s="197" t="s">
        <v>1062</v>
      </c>
      <c r="AN3" s="197" t="s">
        <v>1056</v>
      </c>
      <c r="AO3" s="197" t="s">
        <v>893</v>
      </c>
      <c r="AP3" s="306" t="s">
        <v>893</v>
      </c>
      <c r="AQ3" s="197" t="s">
        <v>1063</v>
      </c>
      <c r="AR3" s="197" t="s">
        <v>1056</v>
      </c>
      <c r="AS3" s="197" t="s">
        <v>1064</v>
      </c>
      <c r="AT3" s="197" t="s">
        <v>1056</v>
      </c>
      <c r="AU3" s="197" t="s">
        <v>893</v>
      </c>
      <c r="AV3" s="307" t="s">
        <v>1065</v>
      </c>
      <c r="AW3" s="308" t="s">
        <v>1066</v>
      </c>
      <c r="AX3" s="199" t="s">
        <v>1067</v>
      </c>
      <c r="AY3" s="197" t="s">
        <v>1068</v>
      </c>
      <c r="AZ3" s="527"/>
      <c r="BA3" s="527"/>
      <c r="BB3" s="531"/>
      <c r="BC3" s="249"/>
      <c r="BD3" s="249"/>
    </row>
    <row r="4" spans="1:57" ht="11.25" customHeight="1" x14ac:dyDescent="0.2">
      <c r="A4" s="257" t="e">
        <f>#REF!</f>
        <v>#REF!</v>
      </c>
      <c r="B4" s="252" t="s">
        <v>1069</v>
      </c>
      <c r="C4" s="250" t="e">
        <f>#REF!</f>
        <v>#REF!</v>
      </c>
      <c r="D4" s="250" t="s">
        <v>1070</v>
      </c>
      <c r="E4" s="255" t="e">
        <f>#REF!</f>
        <v>#REF!</v>
      </c>
      <c r="F4" s="255" t="e">
        <f>#REF!</f>
        <v>#REF!</v>
      </c>
      <c r="G4" s="251" t="s">
        <v>1071</v>
      </c>
      <c r="H4" s="252" t="e">
        <f>#REF!-#REF!-#REF!-#REF!-#REF!-#REF!</f>
        <v>#REF!</v>
      </c>
      <c r="I4" s="253">
        <v>0</v>
      </c>
      <c r="J4" s="252" t="e">
        <f t="shared" ref="J4:J33" si="0">ROUND((H4-I4),0)</f>
        <v>#REF!</v>
      </c>
      <c r="K4" s="252" t="e">
        <f>#REF!+#REF!</f>
        <v>#REF!</v>
      </c>
      <c r="L4" s="252" t="e">
        <f>+#REF!</f>
        <v>#REF!</v>
      </c>
      <c r="M4" s="252" t="e">
        <f>#REF!+#REF!</f>
        <v>#REF!</v>
      </c>
      <c r="N4" s="254" t="e">
        <f t="shared" ref="N4:N33" si="1">ROUND((I4+M4+L4+K4),0)</f>
        <v>#REF!</v>
      </c>
      <c r="O4" s="252" t="e">
        <f>ROUND((J4*30%),0)</f>
        <v>#REF!</v>
      </c>
      <c r="P4" s="252" t="e">
        <f>H4-IF(N4&lt;O4,N4,O4)</f>
        <v>#REF!</v>
      </c>
      <c r="Q4" s="252" t="e">
        <f>IF(P4*25%&lt;6252000,P4*25%,6252000)</f>
        <v>#REF!</v>
      </c>
      <c r="R4" s="252" t="e">
        <f t="shared" ref="R4:R33" si="2">IF(Q4&lt;((240*UVT)*12),P4-Q4,P4-((240*UVT)*12))</f>
        <v>#REF!</v>
      </c>
      <c r="S4" s="252" t="e">
        <f>ROUND((R4),0)</f>
        <v>#REF!</v>
      </c>
      <c r="T4" s="255" t="e">
        <f>#REF!</f>
        <v>#REF!</v>
      </c>
      <c r="U4" s="256" t="e">
        <f>ROUND((S4/T4*30),0)</f>
        <v>#REF!</v>
      </c>
      <c r="V4" s="357">
        <f>(2078800)/12</f>
        <v>173233.33333333334</v>
      </c>
      <c r="W4" s="200">
        <f>6958810+3324300</f>
        <v>10283110</v>
      </c>
      <c r="X4" s="200" t="s">
        <v>1072</v>
      </c>
      <c r="Y4" s="200"/>
      <c r="Z4" s="200"/>
      <c r="AA4" s="200">
        <f t="shared" ref="AA4:AA31" si="3">+W4+Y4</f>
        <v>10283110</v>
      </c>
      <c r="AB4" s="201">
        <f>(AA4/12)</f>
        <v>856925.83333333337</v>
      </c>
      <c r="AC4" s="200">
        <f>1837000</f>
        <v>1837000</v>
      </c>
      <c r="AD4" s="200" t="s">
        <v>1073</v>
      </c>
      <c r="AE4" s="200"/>
      <c r="AF4" s="200"/>
      <c r="AG4" s="200">
        <f t="shared" ref="AG4:AG32" si="4">+AC4+AE4</f>
        <v>1837000</v>
      </c>
      <c r="AH4" s="201">
        <f>(AG4/10)</f>
        <v>183700</v>
      </c>
      <c r="AI4" s="201">
        <f>(AB4+AH4)</f>
        <v>1040625.8333333334</v>
      </c>
      <c r="AJ4" s="205">
        <v>543869</v>
      </c>
      <c r="AK4" s="200">
        <v>0</v>
      </c>
      <c r="AL4" s="200"/>
      <c r="AM4" s="200"/>
      <c r="AN4" s="200"/>
      <c r="AO4" s="200">
        <f t="shared" ref="AO4:AO31" si="5">+AK4+AM4</f>
        <v>0</v>
      </c>
      <c r="AP4" s="202">
        <f>(AO4/12)</f>
        <v>0</v>
      </c>
      <c r="AQ4" s="200"/>
      <c r="AR4" s="200"/>
      <c r="AS4" s="200"/>
      <c r="AT4" s="200"/>
      <c r="AU4" s="200"/>
      <c r="AV4" s="203">
        <f>AP4+AU4</f>
        <v>0</v>
      </c>
      <c r="AW4" s="201">
        <f t="shared" ref="AW4:AW33" si="6">(100*rangos)-100</f>
        <v>2684000</v>
      </c>
      <c r="AX4" s="204">
        <f>IF(AI4&gt;=AJ4,AJ4,AI4)</f>
        <v>543869</v>
      </c>
      <c r="AY4" s="200" t="e">
        <f>ROUND((U4*30%),0)</f>
        <v>#REF!</v>
      </c>
      <c r="AZ4" s="200" t="e">
        <f>IF(BA4&lt;115607000,(U4-AJ4-AV4),(U4-AV4))-V4</f>
        <v>#REF!</v>
      </c>
      <c r="BA4" s="301" t="e">
        <f>S4</f>
        <v>#REF!</v>
      </c>
      <c r="BB4" s="302">
        <f t="shared" ref="BB4:BB33" si="7">IF((AI4&gt;AJ4),(AJ4+AV4),(AI4+AV4))</f>
        <v>543869</v>
      </c>
      <c r="BC4" s="193"/>
      <c r="BD4" s="193"/>
    </row>
    <row r="5" spans="1:57" ht="10.5" x14ac:dyDescent="0.2">
      <c r="A5" s="257" t="e">
        <f>#REF!</f>
        <v>#REF!</v>
      </c>
      <c r="B5" s="252" t="s">
        <v>1069</v>
      </c>
      <c r="C5" s="250" t="e">
        <f>#REF!</f>
        <v>#REF!</v>
      </c>
      <c r="D5" s="250" t="s">
        <v>1074</v>
      </c>
      <c r="E5" s="255" t="e">
        <f>#REF!</f>
        <v>#REF!</v>
      </c>
      <c r="F5" s="255" t="e">
        <f>#REF!</f>
        <v>#REF!</v>
      </c>
      <c r="G5" s="251" t="s">
        <v>1071</v>
      </c>
      <c r="H5" s="252" t="e">
        <f>#REF!-#REF!-#REF!-#REF!-#REF!-#REF!</f>
        <v>#REF!</v>
      </c>
      <c r="I5" s="253">
        <v>0</v>
      </c>
      <c r="J5" s="252" t="e">
        <f t="shared" si="0"/>
        <v>#REF!</v>
      </c>
      <c r="K5" s="252" t="e">
        <f>#REF!+#REF!</f>
        <v>#REF!</v>
      </c>
      <c r="L5" s="252" t="e">
        <f>+#REF!</f>
        <v>#REF!</v>
      </c>
      <c r="M5" s="252" t="e">
        <f>#REF!+#REF!</f>
        <v>#REF!</v>
      </c>
      <c r="N5" s="254" t="e">
        <f t="shared" si="1"/>
        <v>#REF!</v>
      </c>
      <c r="O5" s="252" t="e">
        <f t="shared" ref="O5:O33" si="8">ROUND((J5*30%),0)</f>
        <v>#REF!</v>
      </c>
      <c r="P5" s="252" t="e">
        <f t="shared" ref="P5:P33" si="9">H5-IF(N5&lt;O5,N5,O5)</f>
        <v>#REF!</v>
      </c>
      <c r="Q5" s="252" t="e">
        <f t="shared" ref="Q5:Q33" si="10">IF(P5*25%&lt;6252000,P5*25%,6252000)</f>
        <v>#REF!</v>
      </c>
      <c r="R5" s="252" t="e">
        <f t="shared" si="2"/>
        <v>#REF!</v>
      </c>
      <c r="S5" s="252" t="e">
        <f t="shared" ref="S5:S33" si="11">ROUND((R5),0)</f>
        <v>#REF!</v>
      </c>
      <c r="T5" s="255">
        <v>30</v>
      </c>
      <c r="U5" s="256" t="e">
        <f t="shared" ref="U5:U33" si="12">ROUND((S5/T5*30),0)</f>
        <v>#REF!</v>
      </c>
      <c r="V5" s="357">
        <f>(1777400)/12</f>
        <v>148116.66666666666</v>
      </c>
      <c r="W5" s="200">
        <v>0</v>
      </c>
      <c r="X5" s="200"/>
      <c r="Y5" s="200"/>
      <c r="Z5" s="200"/>
      <c r="AA5" s="200">
        <f t="shared" si="3"/>
        <v>0</v>
      </c>
      <c r="AB5" s="201">
        <f t="shared" ref="AB5:AB33" si="13">(AA5/12)</f>
        <v>0</v>
      </c>
      <c r="AC5" s="200">
        <v>0</v>
      </c>
      <c r="AD5" s="200"/>
      <c r="AE5" s="200"/>
      <c r="AF5" s="200"/>
      <c r="AG5" s="200">
        <f t="shared" si="4"/>
        <v>0</v>
      </c>
      <c r="AH5" s="201">
        <f t="shared" ref="AH5:AH33" si="14">(AG5/10)</f>
        <v>0</v>
      </c>
      <c r="AI5" s="201">
        <f t="shared" ref="AI5:AI33" si="15">(AB5+AH5)</f>
        <v>0</v>
      </c>
      <c r="AJ5" s="205">
        <v>0</v>
      </c>
      <c r="AK5" s="200">
        <v>0</v>
      </c>
      <c r="AL5" s="200"/>
      <c r="AM5" s="200"/>
      <c r="AN5" s="200"/>
      <c r="AO5" s="200">
        <f t="shared" si="5"/>
        <v>0</v>
      </c>
      <c r="AP5" s="202">
        <f t="shared" ref="AP5:AP33" si="16">(AO5/12)</f>
        <v>0</v>
      </c>
      <c r="AQ5" s="200"/>
      <c r="AR5" s="200"/>
      <c r="AS5" s="200"/>
      <c r="AT5" s="200"/>
      <c r="AU5" s="200"/>
      <c r="AV5" s="203">
        <f t="shared" ref="AV5:AV32" si="17">AP5+AU5</f>
        <v>0</v>
      </c>
      <c r="AW5" s="201">
        <f t="shared" si="6"/>
        <v>2684000</v>
      </c>
      <c r="AX5" s="204">
        <f t="shared" ref="AX5:AX33" si="18">IF(AI5&gt;=AJ5,AJ5,AI5)</f>
        <v>0</v>
      </c>
      <c r="AY5" s="200" t="e">
        <f t="shared" ref="AY5:AY32" si="19">ROUND((U5*30%),0)</f>
        <v>#REF!</v>
      </c>
      <c r="AZ5" s="200" t="e">
        <f t="shared" ref="AZ5:AZ32" si="20">IF(BA5&lt;115607000,(U5-AJ5-AV5),(U5-AV5))-V5</f>
        <v>#REF!</v>
      </c>
      <c r="BA5" s="301" t="e">
        <f t="shared" ref="BA5:BA32" si="21">S5</f>
        <v>#REF!</v>
      </c>
      <c r="BB5" s="302">
        <f t="shared" si="7"/>
        <v>0</v>
      </c>
      <c r="BC5" s="193"/>
      <c r="BD5" s="193"/>
    </row>
    <row r="6" spans="1:57" ht="10.5" x14ac:dyDescent="0.2">
      <c r="A6" s="257" t="e">
        <f>#REF!</f>
        <v>#REF!</v>
      </c>
      <c r="B6" s="252" t="s">
        <v>1069</v>
      </c>
      <c r="C6" s="250" t="e">
        <f>#REF!</f>
        <v>#REF!</v>
      </c>
      <c r="D6" s="258" t="s">
        <v>1075</v>
      </c>
      <c r="E6" s="255" t="e">
        <f>#REF!</f>
        <v>#REF!</v>
      </c>
      <c r="F6" s="255" t="e">
        <f>#REF!</f>
        <v>#REF!</v>
      </c>
      <c r="G6" s="251" t="s">
        <v>1076</v>
      </c>
      <c r="H6" s="252" t="e">
        <f>#REF!-#REF!-#REF!-#REF!-#REF!-#REF!</f>
        <v>#REF!</v>
      </c>
      <c r="I6" s="253">
        <v>0</v>
      </c>
      <c r="J6" s="252" t="e">
        <f t="shared" si="0"/>
        <v>#REF!</v>
      </c>
      <c r="K6" s="252" t="e">
        <f>#REF!+#REF!</f>
        <v>#REF!</v>
      </c>
      <c r="L6" s="252" t="e">
        <f>+#REF!</f>
        <v>#REF!</v>
      </c>
      <c r="M6" s="252" t="e">
        <f>#REF!+#REF!</f>
        <v>#REF!</v>
      </c>
      <c r="N6" s="254" t="e">
        <f t="shared" si="1"/>
        <v>#REF!</v>
      </c>
      <c r="O6" s="252" t="e">
        <f t="shared" si="8"/>
        <v>#REF!</v>
      </c>
      <c r="P6" s="252" t="e">
        <f t="shared" si="9"/>
        <v>#REF!</v>
      </c>
      <c r="Q6" s="252" t="e">
        <f t="shared" si="10"/>
        <v>#REF!</v>
      </c>
      <c r="R6" s="252" t="e">
        <f t="shared" si="2"/>
        <v>#REF!</v>
      </c>
      <c r="S6" s="252" t="e">
        <f t="shared" si="11"/>
        <v>#REF!</v>
      </c>
      <c r="T6" s="255" t="e">
        <f>#REF!</f>
        <v>#REF!</v>
      </c>
      <c r="U6" s="256" t="e">
        <f t="shared" si="12"/>
        <v>#REF!</v>
      </c>
      <c r="V6" s="357" t="e">
        <f>#REF!</f>
        <v>#REF!</v>
      </c>
      <c r="W6" s="200">
        <v>0</v>
      </c>
      <c r="X6" s="200"/>
      <c r="Y6" s="200"/>
      <c r="Z6" s="200"/>
      <c r="AA6" s="200">
        <f t="shared" si="3"/>
        <v>0</v>
      </c>
      <c r="AB6" s="201">
        <f t="shared" si="13"/>
        <v>0</v>
      </c>
      <c r="AC6" s="200">
        <v>0</v>
      </c>
      <c r="AD6" s="200"/>
      <c r="AE6" s="200"/>
      <c r="AF6" s="200"/>
      <c r="AG6" s="200">
        <f t="shared" si="4"/>
        <v>0</v>
      </c>
      <c r="AH6" s="201">
        <f t="shared" si="14"/>
        <v>0</v>
      </c>
      <c r="AI6" s="201">
        <f t="shared" si="15"/>
        <v>0</v>
      </c>
      <c r="AJ6" s="205">
        <v>0</v>
      </c>
      <c r="AK6" s="200">
        <v>0</v>
      </c>
      <c r="AL6" s="200"/>
      <c r="AM6" s="200"/>
      <c r="AN6" s="200"/>
      <c r="AO6" s="200">
        <f t="shared" si="5"/>
        <v>0</v>
      </c>
      <c r="AP6" s="202">
        <f t="shared" si="16"/>
        <v>0</v>
      </c>
      <c r="AQ6" s="200"/>
      <c r="AR6" s="200"/>
      <c r="AS6" s="200"/>
      <c r="AT6" s="200"/>
      <c r="AU6" s="200"/>
      <c r="AV6" s="203">
        <f t="shared" si="17"/>
        <v>0</v>
      </c>
      <c r="AW6" s="201">
        <f t="shared" si="6"/>
        <v>2684000</v>
      </c>
      <c r="AX6" s="204">
        <f t="shared" si="18"/>
        <v>0</v>
      </c>
      <c r="AY6" s="200" t="e">
        <f t="shared" si="19"/>
        <v>#REF!</v>
      </c>
      <c r="AZ6" s="200" t="e">
        <f t="shared" si="20"/>
        <v>#REF!</v>
      </c>
      <c r="BA6" s="301" t="e">
        <f t="shared" si="21"/>
        <v>#REF!</v>
      </c>
      <c r="BB6" s="302">
        <f t="shared" si="7"/>
        <v>0</v>
      </c>
      <c r="BC6" s="193"/>
      <c r="BD6" s="193"/>
    </row>
    <row r="7" spans="1:57" ht="10.5" x14ac:dyDescent="0.2">
      <c r="A7" s="257" t="e">
        <f>#REF!</f>
        <v>#REF!</v>
      </c>
      <c r="B7" s="252" t="s">
        <v>1069</v>
      </c>
      <c r="C7" s="250" t="e">
        <f>#REF!</f>
        <v>#REF!</v>
      </c>
      <c r="D7" s="250" t="s">
        <v>1077</v>
      </c>
      <c r="E7" s="255" t="e">
        <f>#REF!</f>
        <v>#REF!</v>
      </c>
      <c r="F7" s="255" t="e">
        <f>#REF!</f>
        <v>#REF!</v>
      </c>
      <c r="G7" s="251" t="s">
        <v>1076</v>
      </c>
      <c r="H7" s="252" t="e">
        <f>#REF!-#REF!-#REF!-#REF!-#REF!-#REF!</f>
        <v>#REF!</v>
      </c>
      <c r="I7" s="253">
        <v>0</v>
      </c>
      <c r="J7" s="252" t="e">
        <f t="shared" si="0"/>
        <v>#REF!</v>
      </c>
      <c r="K7" s="252" t="e">
        <f>#REF!+#REF!</f>
        <v>#REF!</v>
      </c>
      <c r="L7" s="252" t="e">
        <f>+#REF!</f>
        <v>#REF!</v>
      </c>
      <c r="M7" s="252" t="e">
        <f>#REF!+#REF!</f>
        <v>#REF!</v>
      </c>
      <c r="N7" s="254" t="e">
        <f t="shared" si="1"/>
        <v>#REF!</v>
      </c>
      <c r="O7" s="252" t="e">
        <f t="shared" si="8"/>
        <v>#REF!</v>
      </c>
      <c r="P7" s="252" t="e">
        <f t="shared" si="9"/>
        <v>#REF!</v>
      </c>
      <c r="Q7" s="252" t="e">
        <f t="shared" si="10"/>
        <v>#REF!</v>
      </c>
      <c r="R7" s="252" t="e">
        <f t="shared" si="2"/>
        <v>#REF!</v>
      </c>
      <c r="S7" s="252" t="e">
        <f t="shared" si="11"/>
        <v>#REF!</v>
      </c>
      <c r="T7" s="255" t="e">
        <f>#REF!</f>
        <v>#REF!</v>
      </c>
      <c r="U7" s="256" t="e">
        <f t="shared" si="12"/>
        <v>#REF!</v>
      </c>
      <c r="V7" s="357" t="e">
        <f>#REF!</f>
        <v>#REF!</v>
      </c>
      <c r="W7" s="200">
        <v>15995000</v>
      </c>
      <c r="X7" s="200" t="s">
        <v>1072</v>
      </c>
      <c r="Y7" s="200"/>
      <c r="Z7" s="200"/>
      <c r="AA7" s="200">
        <f t="shared" si="3"/>
        <v>15995000</v>
      </c>
      <c r="AB7" s="201">
        <f t="shared" si="13"/>
        <v>1332916.6666666667</v>
      </c>
      <c r="AC7" s="200">
        <v>0</v>
      </c>
      <c r="AD7" s="200"/>
      <c r="AE7" s="200"/>
      <c r="AF7" s="200"/>
      <c r="AG7" s="200">
        <f t="shared" si="4"/>
        <v>0</v>
      </c>
      <c r="AH7" s="201">
        <f t="shared" si="14"/>
        <v>0</v>
      </c>
      <c r="AI7" s="201">
        <f t="shared" si="15"/>
        <v>1332916.6666666667</v>
      </c>
      <c r="AJ7" s="205">
        <v>769160</v>
      </c>
      <c r="AK7" s="200">
        <v>0</v>
      </c>
      <c r="AL7" s="200"/>
      <c r="AM7" s="200"/>
      <c r="AN7" s="200"/>
      <c r="AO7" s="200">
        <f t="shared" si="5"/>
        <v>0</v>
      </c>
      <c r="AP7" s="202">
        <f t="shared" si="16"/>
        <v>0</v>
      </c>
      <c r="AQ7" s="200"/>
      <c r="AR7" s="200"/>
      <c r="AS7" s="200"/>
      <c r="AT7" s="200"/>
      <c r="AU7" s="200"/>
      <c r="AV7" s="203">
        <f t="shared" si="17"/>
        <v>0</v>
      </c>
      <c r="AW7" s="201">
        <f t="shared" si="6"/>
        <v>2684000</v>
      </c>
      <c r="AX7" s="204">
        <f t="shared" si="18"/>
        <v>769160</v>
      </c>
      <c r="AY7" s="200" t="e">
        <f t="shared" si="19"/>
        <v>#REF!</v>
      </c>
      <c r="AZ7" s="200" t="e">
        <f t="shared" si="20"/>
        <v>#REF!</v>
      </c>
      <c r="BA7" s="301" t="e">
        <f t="shared" si="21"/>
        <v>#REF!</v>
      </c>
      <c r="BB7" s="302">
        <f t="shared" si="7"/>
        <v>769160</v>
      </c>
      <c r="BC7" s="193"/>
      <c r="BD7" s="193"/>
    </row>
    <row r="8" spans="1:57" ht="10.5" x14ac:dyDescent="0.2">
      <c r="A8" s="257" t="e">
        <f>#REF!</f>
        <v>#REF!</v>
      </c>
      <c r="B8" s="252" t="s">
        <v>1069</v>
      </c>
      <c r="C8" s="250" t="e">
        <f>#REF!</f>
        <v>#REF!</v>
      </c>
      <c r="D8" s="250" t="s">
        <v>904</v>
      </c>
      <c r="E8" s="255" t="e">
        <f>#REF!</f>
        <v>#REF!</v>
      </c>
      <c r="F8" s="255" t="e">
        <f>#REF!</f>
        <v>#REF!</v>
      </c>
      <c r="G8" s="251" t="s">
        <v>1076</v>
      </c>
      <c r="H8" s="252" t="e">
        <f>#REF!-#REF!-#REF!-#REF!-#REF!-#REF!</f>
        <v>#REF!</v>
      </c>
      <c r="I8" s="253">
        <v>0</v>
      </c>
      <c r="J8" s="252" t="e">
        <f t="shared" si="0"/>
        <v>#REF!</v>
      </c>
      <c r="K8" s="252" t="e">
        <f>#REF!+#REF!</f>
        <v>#REF!</v>
      </c>
      <c r="L8" s="252" t="e">
        <f>+#REF!</f>
        <v>#REF!</v>
      </c>
      <c r="M8" s="252" t="e">
        <f>#REF!+#REF!</f>
        <v>#REF!</v>
      </c>
      <c r="N8" s="254" t="e">
        <f t="shared" si="1"/>
        <v>#REF!</v>
      </c>
      <c r="O8" s="252" t="e">
        <f t="shared" si="8"/>
        <v>#REF!</v>
      </c>
      <c r="P8" s="252" t="e">
        <f t="shared" si="9"/>
        <v>#REF!</v>
      </c>
      <c r="Q8" s="252" t="e">
        <f t="shared" si="10"/>
        <v>#REF!</v>
      </c>
      <c r="R8" s="252" t="e">
        <f t="shared" si="2"/>
        <v>#REF!</v>
      </c>
      <c r="S8" s="252" t="e">
        <f t="shared" si="11"/>
        <v>#REF!</v>
      </c>
      <c r="T8" s="255" t="e">
        <f>#REF!</f>
        <v>#REF!</v>
      </c>
      <c r="U8" s="256" t="e">
        <f t="shared" si="12"/>
        <v>#REF!</v>
      </c>
      <c r="V8" s="357" t="e">
        <f>#REF!</f>
        <v>#REF!</v>
      </c>
      <c r="W8" s="200"/>
      <c r="X8" s="200"/>
      <c r="Y8" s="200"/>
      <c r="Z8" s="200"/>
      <c r="AA8" s="200">
        <f>+W8+Y8</f>
        <v>0</v>
      </c>
      <c r="AB8" s="201">
        <f t="shared" si="13"/>
        <v>0</v>
      </c>
      <c r="AC8" s="200">
        <v>0</v>
      </c>
      <c r="AD8" s="200"/>
      <c r="AE8" s="200"/>
      <c r="AF8" s="200"/>
      <c r="AG8" s="200">
        <f>+AC8+AE8</f>
        <v>0</v>
      </c>
      <c r="AH8" s="201">
        <f t="shared" si="14"/>
        <v>0</v>
      </c>
      <c r="AI8" s="201">
        <f t="shared" si="15"/>
        <v>0</v>
      </c>
      <c r="AJ8" s="205"/>
      <c r="AK8" s="200">
        <v>0</v>
      </c>
      <c r="AL8" s="200"/>
      <c r="AM8" s="200"/>
      <c r="AN8" s="200"/>
      <c r="AO8" s="200">
        <f>+AK8+AM8</f>
        <v>0</v>
      </c>
      <c r="AP8" s="202">
        <f t="shared" si="16"/>
        <v>0</v>
      </c>
      <c r="AQ8" s="200"/>
      <c r="AR8" s="200"/>
      <c r="AS8" s="200"/>
      <c r="AT8" s="200"/>
      <c r="AU8" s="200"/>
      <c r="AV8" s="203">
        <f>AP8+AU8</f>
        <v>0</v>
      </c>
      <c r="AW8" s="201">
        <f t="shared" si="6"/>
        <v>2684000</v>
      </c>
      <c r="AX8" s="204">
        <f t="shared" si="18"/>
        <v>0</v>
      </c>
      <c r="AY8" s="200" t="e">
        <f>ROUND((U8*30%),0)</f>
        <v>#REF!</v>
      </c>
      <c r="AZ8" s="200" t="e">
        <f>IF(BA8&lt;115607000,(U8-AJ8-AV8),(U8-AV8))-V8</f>
        <v>#REF!</v>
      </c>
      <c r="BA8" s="301" t="e">
        <f>S8</f>
        <v>#REF!</v>
      </c>
      <c r="BB8" s="302">
        <f>IF((AI8&gt;AJ8),(AJ8+AV8),(AI8+AV8))</f>
        <v>0</v>
      </c>
      <c r="BC8" s="193"/>
      <c r="BD8" s="193"/>
    </row>
    <row r="9" spans="1:57" ht="10.5" x14ac:dyDescent="0.2">
      <c r="A9" s="257" t="e">
        <f>#REF!</f>
        <v>#REF!</v>
      </c>
      <c r="B9" s="252" t="s">
        <v>1069</v>
      </c>
      <c r="C9" s="250" t="e">
        <f>#REF!</f>
        <v>#REF!</v>
      </c>
      <c r="D9" s="250" t="s">
        <v>1074</v>
      </c>
      <c r="E9" s="255" t="e">
        <f>#REF!</f>
        <v>#REF!</v>
      </c>
      <c r="F9" s="255" t="e">
        <f>#REF!</f>
        <v>#REF!</v>
      </c>
      <c r="G9" s="251" t="s">
        <v>1071</v>
      </c>
      <c r="H9" s="252" t="e">
        <f>#REF!-#REF!-#REF!-#REF!-#REF!-#REF!</f>
        <v>#REF!</v>
      </c>
      <c r="I9" s="253">
        <v>0</v>
      </c>
      <c r="J9" s="252" t="e">
        <f t="shared" si="0"/>
        <v>#REF!</v>
      </c>
      <c r="K9" s="252" t="e">
        <f>#REF!+#REF!</f>
        <v>#REF!</v>
      </c>
      <c r="L9" s="252" t="e">
        <f>+#REF!</f>
        <v>#REF!</v>
      </c>
      <c r="M9" s="252" t="e">
        <f>#REF!+#REF!</f>
        <v>#REF!</v>
      </c>
      <c r="N9" s="254" t="e">
        <f t="shared" si="1"/>
        <v>#REF!</v>
      </c>
      <c r="O9" s="252" t="e">
        <f t="shared" si="8"/>
        <v>#REF!</v>
      </c>
      <c r="P9" s="252" t="e">
        <f t="shared" si="9"/>
        <v>#REF!</v>
      </c>
      <c r="Q9" s="252" t="e">
        <f t="shared" si="10"/>
        <v>#REF!</v>
      </c>
      <c r="R9" s="252" t="e">
        <f t="shared" si="2"/>
        <v>#REF!</v>
      </c>
      <c r="S9" s="252" t="e">
        <f t="shared" si="11"/>
        <v>#REF!</v>
      </c>
      <c r="T9" s="255" t="e">
        <f>#REF!</f>
        <v>#REF!</v>
      </c>
      <c r="U9" s="256" t="e">
        <f t="shared" si="12"/>
        <v>#REF!</v>
      </c>
      <c r="V9" s="357">
        <f>(1688800)/12</f>
        <v>140733.33333333334</v>
      </c>
      <c r="W9" s="200">
        <v>0</v>
      </c>
      <c r="X9" s="200"/>
      <c r="Y9" s="200"/>
      <c r="Z9" s="200"/>
      <c r="AA9" s="200">
        <f>+W9+Y9</f>
        <v>0</v>
      </c>
      <c r="AB9" s="201">
        <f t="shared" si="13"/>
        <v>0</v>
      </c>
      <c r="AC9" s="200">
        <v>0</v>
      </c>
      <c r="AD9" s="200"/>
      <c r="AE9" s="200"/>
      <c r="AF9" s="200"/>
      <c r="AG9" s="200">
        <f t="shared" si="4"/>
        <v>0</v>
      </c>
      <c r="AH9" s="201">
        <f t="shared" si="14"/>
        <v>0</v>
      </c>
      <c r="AI9" s="201">
        <f t="shared" si="15"/>
        <v>0</v>
      </c>
      <c r="AJ9" s="205">
        <v>0</v>
      </c>
      <c r="AK9" s="200">
        <v>0</v>
      </c>
      <c r="AL9" s="200"/>
      <c r="AM9" s="200"/>
      <c r="AN9" s="200"/>
      <c r="AO9" s="200">
        <f t="shared" si="5"/>
        <v>0</v>
      </c>
      <c r="AP9" s="202">
        <f t="shared" si="16"/>
        <v>0</v>
      </c>
      <c r="AQ9" s="200"/>
      <c r="AR9" s="200"/>
      <c r="AS9" s="200"/>
      <c r="AT9" s="200"/>
      <c r="AU9" s="200"/>
      <c r="AV9" s="203">
        <f t="shared" si="17"/>
        <v>0</v>
      </c>
      <c r="AW9" s="201">
        <f t="shared" si="6"/>
        <v>2684000</v>
      </c>
      <c r="AX9" s="204">
        <f t="shared" si="18"/>
        <v>0</v>
      </c>
      <c r="AY9" s="200" t="e">
        <f t="shared" si="19"/>
        <v>#REF!</v>
      </c>
      <c r="AZ9" s="200" t="e">
        <f t="shared" si="20"/>
        <v>#REF!</v>
      </c>
      <c r="BA9" s="301" t="e">
        <f t="shared" si="21"/>
        <v>#REF!</v>
      </c>
      <c r="BB9" s="302">
        <f t="shared" si="7"/>
        <v>0</v>
      </c>
      <c r="BC9" s="193"/>
      <c r="BD9" s="193"/>
    </row>
    <row r="10" spans="1:57" ht="10.5" x14ac:dyDescent="0.2">
      <c r="A10" s="257" t="e">
        <f>#REF!</f>
        <v>#REF!</v>
      </c>
      <c r="B10" s="252" t="s">
        <v>1069</v>
      </c>
      <c r="C10" s="250" t="e">
        <f>#REF!</f>
        <v>#REF!</v>
      </c>
      <c r="D10" s="250" t="s">
        <v>1078</v>
      </c>
      <c r="E10" s="255" t="e">
        <f>#REF!</f>
        <v>#REF!</v>
      </c>
      <c r="F10" s="255" t="e">
        <f>#REF!</f>
        <v>#REF!</v>
      </c>
      <c r="G10" s="251" t="s">
        <v>1071</v>
      </c>
      <c r="H10" s="252" t="e">
        <f>#REF!-#REF!-#REF!-#REF!-#REF!-#REF!</f>
        <v>#REF!</v>
      </c>
      <c r="I10" s="253">
        <v>0</v>
      </c>
      <c r="J10" s="252" t="e">
        <f t="shared" si="0"/>
        <v>#REF!</v>
      </c>
      <c r="K10" s="252" t="e">
        <f>#REF!+#REF!</f>
        <v>#REF!</v>
      </c>
      <c r="L10" s="252" t="e">
        <f>+#REF!</f>
        <v>#REF!</v>
      </c>
      <c r="M10" s="252" t="e">
        <f>#REF!+#REF!</f>
        <v>#REF!</v>
      </c>
      <c r="N10" s="254" t="e">
        <f t="shared" si="1"/>
        <v>#REF!</v>
      </c>
      <c r="O10" s="252" t="e">
        <f t="shared" si="8"/>
        <v>#REF!</v>
      </c>
      <c r="P10" s="252" t="e">
        <f t="shared" si="9"/>
        <v>#REF!</v>
      </c>
      <c r="Q10" s="252" t="e">
        <f t="shared" si="10"/>
        <v>#REF!</v>
      </c>
      <c r="R10" s="252" t="e">
        <f t="shared" si="2"/>
        <v>#REF!</v>
      </c>
      <c r="S10" s="252" t="e">
        <f t="shared" si="11"/>
        <v>#REF!</v>
      </c>
      <c r="T10" s="255" t="e">
        <f>#REF!</f>
        <v>#REF!</v>
      </c>
      <c r="U10" s="256" t="e">
        <f t="shared" si="12"/>
        <v>#REF!</v>
      </c>
      <c r="V10" s="357">
        <f>(1114800)/12</f>
        <v>92900</v>
      </c>
      <c r="W10" s="200">
        <v>0</v>
      </c>
      <c r="X10" s="200"/>
      <c r="Y10" s="200"/>
      <c r="Z10" s="200"/>
      <c r="AA10" s="200">
        <f t="shared" si="3"/>
        <v>0</v>
      </c>
      <c r="AB10" s="201">
        <f t="shared" si="13"/>
        <v>0</v>
      </c>
      <c r="AC10" s="200">
        <v>0</v>
      </c>
      <c r="AD10" s="200"/>
      <c r="AE10" s="200"/>
      <c r="AF10" s="200"/>
      <c r="AG10" s="200">
        <f t="shared" si="4"/>
        <v>0</v>
      </c>
      <c r="AH10" s="201">
        <f t="shared" si="14"/>
        <v>0</v>
      </c>
      <c r="AI10" s="201">
        <f t="shared" si="15"/>
        <v>0</v>
      </c>
      <c r="AJ10" s="205">
        <v>0</v>
      </c>
      <c r="AK10" s="200">
        <v>0</v>
      </c>
      <c r="AL10" s="200"/>
      <c r="AM10" s="200"/>
      <c r="AN10" s="200"/>
      <c r="AO10" s="200">
        <f t="shared" si="5"/>
        <v>0</v>
      </c>
      <c r="AP10" s="202">
        <f t="shared" si="16"/>
        <v>0</v>
      </c>
      <c r="AQ10" s="200"/>
      <c r="AR10" s="200"/>
      <c r="AS10" s="200"/>
      <c r="AT10" s="200"/>
      <c r="AU10" s="200"/>
      <c r="AV10" s="203">
        <f t="shared" si="17"/>
        <v>0</v>
      </c>
      <c r="AW10" s="201">
        <f t="shared" si="6"/>
        <v>2684000</v>
      </c>
      <c r="AX10" s="204">
        <f t="shared" si="18"/>
        <v>0</v>
      </c>
      <c r="AY10" s="200" t="e">
        <f t="shared" si="19"/>
        <v>#REF!</v>
      </c>
      <c r="AZ10" s="200" t="e">
        <f t="shared" si="20"/>
        <v>#REF!</v>
      </c>
      <c r="BA10" s="301" t="e">
        <f t="shared" si="21"/>
        <v>#REF!</v>
      </c>
      <c r="BB10" s="302">
        <f t="shared" si="7"/>
        <v>0</v>
      </c>
      <c r="BC10" s="193"/>
      <c r="BD10" s="193"/>
    </row>
    <row r="11" spans="1:57" ht="11.25" customHeight="1" x14ac:dyDescent="0.2">
      <c r="A11" s="257" t="e">
        <f>#REF!</f>
        <v>#REF!</v>
      </c>
      <c r="B11" s="252" t="s">
        <v>1069</v>
      </c>
      <c r="C11" s="250" t="e">
        <f>#REF!</f>
        <v>#REF!</v>
      </c>
      <c r="D11" s="250" t="s">
        <v>1074</v>
      </c>
      <c r="E11" s="255" t="e">
        <f>#REF!</f>
        <v>#REF!</v>
      </c>
      <c r="F11" s="255" t="e">
        <f>#REF!</f>
        <v>#REF!</v>
      </c>
      <c r="G11" s="251" t="s">
        <v>1071</v>
      </c>
      <c r="H11" s="252" t="e">
        <f>#REF!-#REF!-#REF!-#REF!-#REF!-#REF!</f>
        <v>#REF!</v>
      </c>
      <c r="I11" s="253">
        <v>0</v>
      </c>
      <c r="J11" s="252" t="e">
        <f t="shared" si="0"/>
        <v>#REF!</v>
      </c>
      <c r="K11" s="252" t="e">
        <f>#REF!+#REF!</f>
        <v>#REF!</v>
      </c>
      <c r="L11" s="252" t="e">
        <f>+#REF!</f>
        <v>#REF!</v>
      </c>
      <c r="M11" s="252" t="e">
        <f>#REF!+#REF!</f>
        <v>#REF!</v>
      </c>
      <c r="N11" s="254" t="e">
        <f t="shared" si="1"/>
        <v>#REF!</v>
      </c>
      <c r="O11" s="252" t="e">
        <f t="shared" si="8"/>
        <v>#REF!</v>
      </c>
      <c r="P11" s="252" t="e">
        <f t="shared" si="9"/>
        <v>#REF!</v>
      </c>
      <c r="Q11" s="252" t="e">
        <f t="shared" si="10"/>
        <v>#REF!</v>
      </c>
      <c r="R11" s="252" t="e">
        <f t="shared" si="2"/>
        <v>#REF!</v>
      </c>
      <c r="S11" s="252" t="e">
        <f t="shared" si="11"/>
        <v>#REF!</v>
      </c>
      <c r="T11" s="255" t="e">
        <f>#REF!</f>
        <v>#REF!</v>
      </c>
      <c r="U11" s="256" t="e">
        <f t="shared" si="12"/>
        <v>#REF!</v>
      </c>
      <c r="V11" s="357">
        <f>(1407000)/12</f>
        <v>117250</v>
      </c>
      <c r="W11" s="200">
        <v>0</v>
      </c>
      <c r="X11" s="200"/>
      <c r="Y11" s="200"/>
      <c r="Z11" s="200"/>
      <c r="AA11" s="200">
        <f t="shared" si="3"/>
        <v>0</v>
      </c>
      <c r="AB11" s="201">
        <f t="shared" si="13"/>
        <v>0</v>
      </c>
      <c r="AC11" s="200">
        <v>0</v>
      </c>
      <c r="AD11" s="200"/>
      <c r="AE11" s="200"/>
      <c r="AF11" s="200"/>
      <c r="AG11" s="200">
        <f t="shared" si="4"/>
        <v>0</v>
      </c>
      <c r="AH11" s="201">
        <f t="shared" si="14"/>
        <v>0</v>
      </c>
      <c r="AI11" s="201">
        <f t="shared" si="15"/>
        <v>0</v>
      </c>
      <c r="AJ11" s="205">
        <v>0</v>
      </c>
      <c r="AK11" s="200">
        <v>0</v>
      </c>
      <c r="AL11" s="200"/>
      <c r="AM11" s="200"/>
      <c r="AN11" s="200"/>
      <c r="AO11" s="200">
        <f t="shared" si="5"/>
        <v>0</v>
      </c>
      <c r="AP11" s="202">
        <f t="shared" si="16"/>
        <v>0</v>
      </c>
      <c r="AQ11" s="200"/>
      <c r="AR11" s="200"/>
      <c r="AS11" s="200"/>
      <c r="AT11" s="200"/>
      <c r="AU11" s="200"/>
      <c r="AV11" s="203">
        <f t="shared" si="17"/>
        <v>0</v>
      </c>
      <c r="AW11" s="201">
        <f t="shared" si="6"/>
        <v>2684000</v>
      </c>
      <c r="AX11" s="204">
        <f t="shared" si="18"/>
        <v>0</v>
      </c>
      <c r="AY11" s="200" t="e">
        <f t="shared" si="19"/>
        <v>#REF!</v>
      </c>
      <c r="AZ11" s="200" t="e">
        <f t="shared" si="20"/>
        <v>#REF!</v>
      </c>
      <c r="BA11" s="301" t="e">
        <f t="shared" si="21"/>
        <v>#REF!</v>
      </c>
      <c r="BB11" s="302">
        <f t="shared" si="7"/>
        <v>0</v>
      </c>
      <c r="BC11" s="193"/>
      <c r="BD11" s="193"/>
    </row>
    <row r="12" spans="1:57" ht="10.5" x14ac:dyDescent="0.2">
      <c r="A12" s="257" t="e">
        <f>#REF!</f>
        <v>#REF!</v>
      </c>
      <c r="B12" s="252" t="s">
        <v>1069</v>
      </c>
      <c r="C12" s="250" t="e">
        <f>#REF!</f>
        <v>#REF!</v>
      </c>
      <c r="D12" s="250" t="s">
        <v>1070</v>
      </c>
      <c r="E12" s="255" t="e">
        <f>#REF!</f>
        <v>#REF!</v>
      </c>
      <c r="F12" s="255" t="e">
        <f>#REF!</f>
        <v>#REF!</v>
      </c>
      <c r="G12" s="251" t="s">
        <v>1071</v>
      </c>
      <c r="H12" s="252" t="e">
        <f>#REF!-#REF!-#REF!-#REF!-#REF!-#REF!</f>
        <v>#REF!</v>
      </c>
      <c r="I12" s="253">
        <v>0</v>
      </c>
      <c r="J12" s="252" t="e">
        <f t="shared" si="0"/>
        <v>#REF!</v>
      </c>
      <c r="K12" s="252" t="e">
        <f>#REF!+#REF!</f>
        <v>#REF!</v>
      </c>
      <c r="L12" s="252" t="e">
        <f>+#REF!</f>
        <v>#REF!</v>
      </c>
      <c r="M12" s="252" t="e">
        <f>#REF!+#REF!</f>
        <v>#REF!</v>
      </c>
      <c r="N12" s="254" t="e">
        <f t="shared" si="1"/>
        <v>#REF!</v>
      </c>
      <c r="O12" s="252" t="e">
        <f t="shared" si="8"/>
        <v>#REF!</v>
      </c>
      <c r="P12" s="252" t="e">
        <f t="shared" si="9"/>
        <v>#REF!</v>
      </c>
      <c r="Q12" s="252" t="e">
        <f t="shared" si="10"/>
        <v>#REF!</v>
      </c>
      <c r="R12" s="252" t="e">
        <f t="shared" si="2"/>
        <v>#REF!</v>
      </c>
      <c r="S12" s="252" t="e">
        <f t="shared" si="11"/>
        <v>#REF!</v>
      </c>
      <c r="T12" s="255" t="e">
        <f>#REF!</f>
        <v>#REF!</v>
      </c>
      <c r="U12" s="256" t="e">
        <f t="shared" si="12"/>
        <v>#REF!</v>
      </c>
      <c r="V12" s="357">
        <f>(2003900)/12</f>
        <v>166991.66666666666</v>
      </c>
      <c r="W12" s="200">
        <v>5275000</v>
      </c>
      <c r="X12" s="200" t="s">
        <v>1072</v>
      </c>
      <c r="Y12" s="200"/>
      <c r="Z12" s="200"/>
      <c r="AA12" s="200">
        <f t="shared" si="3"/>
        <v>5275000</v>
      </c>
      <c r="AB12" s="201">
        <f t="shared" si="13"/>
        <v>439583.33333333331</v>
      </c>
      <c r="AC12" s="200">
        <v>1753620</v>
      </c>
      <c r="AD12" s="200" t="s">
        <v>1072</v>
      </c>
      <c r="AE12" s="200"/>
      <c r="AF12" s="200"/>
      <c r="AG12" s="200">
        <f t="shared" si="4"/>
        <v>1753620</v>
      </c>
      <c r="AH12" s="201">
        <f t="shared" si="14"/>
        <v>175362</v>
      </c>
      <c r="AI12" s="201">
        <f t="shared" si="15"/>
        <v>614945.33333333326</v>
      </c>
      <c r="AJ12" s="205">
        <v>517268</v>
      </c>
      <c r="AK12" s="200">
        <v>0</v>
      </c>
      <c r="AL12" s="200"/>
      <c r="AM12" s="200"/>
      <c r="AN12" s="200"/>
      <c r="AO12" s="200">
        <f t="shared" si="5"/>
        <v>0</v>
      </c>
      <c r="AP12" s="202">
        <f t="shared" si="16"/>
        <v>0</v>
      </c>
      <c r="AQ12" s="200"/>
      <c r="AR12" s="200"/>
      <c r="AS12" s="200"/>
      <c r="AT12" s="200"/>
      <c r="AU12" s="200"/>
      <c r="AV12" s="203">
        <f t="shared" si="17"/>
        <v>0</v>
      </c>
      <c r="AW12" s="201">
        <f t="shared" si="6"/>
        <v>2684000</v>
      </c>
      <c r="AX12" s="204">
        <f t="shared" si="18"/>
        <v>517268</v>
      </c>
      <c r="AY12" s="200" t="e">
        <f t="shared" si="19"/>
        <v>#REF!</v>
      </c>
      <c r="AZ12" s="200" t="e">
        <f t="shared" si="20"/>
        <v>#REF!</v>
      </c>
      <c r="BA12" s="301" t="e">
        <f t="shared" si="21"/>
        <v>#REF!</v>
      </c>
      <c r="BB12" s="302">
        <f t="shared" si="7"/>
        <v>517268</v>
      </c>
      <c r="BC12" s="193"/>
      <c r="BD12" s="193"/>
    </row>
    <row r="13" spans="1:57" ht="11.25" customHeight="1" x14ac:dyDescent="0.2">
      <c r="A13" s="257" t="e">
        <f>#REF!</f>
        <v>#REF!</v>
      </c>
      <c r="B13" s="252" t="s">
        <v>1069</v>
      </c>
      <c r="C13" s="250" t="e">
        <f>#REF!</f>
        <v>#REF!</v>
      </c>
      <c r="D13" s="250" t="s">
        <v>904</v>
      </c>
      <c r="E13" s="255" t="e">
        <f>#REF!</f>
        <v>#REF!</v>
      </c>
      <c r="F13" s="255" t="e">
        <f>#REF!</f>
        <v>#REF!</v>
      </c>
      <c r="G13" s="251" t="s">
        <v>1071</v>
      </c>
      <c r="H13" s="252" t="e">
        <f>#REF!-#REF!-#REF!-#REF!-#REF!-#REF!</f>
        <v>#REF!</v>
      </c>
      <c r="I13" s="253">
        <v>0</v>
      </c>
      <c r="J13" s="252" t="e">
        <f t="shared" si="0"/>
        <v>#REF!</v>
      </c>
      <c r="K13" s="252" t="e">
        <f>#REF!+#REF!</f>
        <v>#REF!</v>
      </c>
      <c r="L13" s="252" t="e">
        <f>+#REF!</f>
        <v>#REF!</v>
      </c>
      <c r="M13" s="252" t="e">
        <f>#REF!+#REF!</f>
        <v>#REF!</v>
      </c>
      <c r="N13" s="254" t="e">
        <f t="shared" si="1"/>
        <v>#REF!</v>
      </c>
      <c r="O13" s="252" t="e">
        <f t="shared" si="8"/>
        <v>#REF!</v>
      </c>
      <c r="P13" s="252" t="e">
        <f t="shared" si="9"/>
        <v>#REF!</v>
      </c>
      <c r="Q13" s="252" t="e">
        <f t="shared" si="10"/>
        <v>#REF!</v>
      </c>
      <c r="R13" s="252" t="e">
        <f t="shared" si="2"/>
        <v>#REF!</v>
      </c>
      <c r="S13" s="252" t="e">
        <f t="shared" si="11"/>
        <v>#REF!</v>
      </c>
      <c r="T13" s="255">
        <v>30</v>
      </c>
      <c r="U13" s="256" t="e">
        <f t="shared" si="12"/>
        <v>#REF!</v>
      </c>
      <c r="V13" s="357">
        <f>(3194100)/12</f>
        <v>266175</v>
      </c>
      <c r="W13" s="200">
        <v>9469805</v>
      </c>
      <c r="X13" s="200" t="s">
        <v>1072</v>
      </c>
      <c r="Y13" s="200"/>
      <c r="Z13" s="200"/>
      <c r="AA13" s="200">
        <f t="shared" si="3"/>
        <v>9469805</v>
      </c>
      <c r="AB13" s="201">
        <f t="shared" si="13"/>
        <v>789150.41666666663</v>
      </c>
      <c r="AC13" s="200">
        <v>0</v>
      </c>
      <c r="AD13" s="200"/>
      <c r="AE13" s="200"/>
      <c r="AF13" s="200"/>
      <c r="AG13" s="200">
        <f t="shared" si="4"/>
        <v>0</v>
      </c>
      <c r="AH13" s="201">
        <f t="shared" si="14"/>
        <v>0</v>
      </c>
      <c r="AI13" s="201">
        <f t="shared" si="15"/>
        <v>789150.41666666663</v>
      </c>
      <c r="AJ13" s="205">
        <v>789150</v>
      </c>
      <c r="AK13" s="200">
        <v>0</v>
      </c>
      <c r="AL13" s="200"/>
      <c r="AM13" s="200"/>
      <c r="AN13" s="200"/>
      <c r="AO13" s="200">
        <f t="shared" si="5"/>
        <v>0</v>
      </c>
      <c r="AP13" s="202">
        <f t="shared" si="16"/>
        <v>0</v>
      </c>
      <c r="AQ13" s="200"/>
      <c r="AR13" s="200"/>
      <c r="AS13" s="200"/>
      <c r="AT13" s="200"/>
      <c r="AU13" s="200"/>
      <c r="AV13" s="203">
        <f t="shared" si="17"/>
        <v>0</v>
      </c>
      <c r="AW13" s="201">
        <f t="shared" si="6"/>
        <v>2684000</v>
      </c>
      <c r="AX13" s="204">
        <f t="shared" si="18"/>
        <v>789150</v>
      </c>
      <c r="AY13" s="200" t="e">
        <f t="shared" si="19"/>
        <v>#REF!</v>
      </c>
      <c r="AZ13" s="200" t="e">
        <f t="shared" si="20"/>
        <v>#REF!</v>
      </c>
      <c r="BA13" s="301" t="e">
        <f t="shared" si="21"/>
        <v>#REF!</v>
      </c>
      <c r="BB13" s="302">
        <f t="shared" si="7"/>
        <v>789150</v>
      </c>
      <c r="BC13" s="193"/>
      <c r="BD13" s="193"/>
    </row>
    <row r="14" spans="1:57" ht="11.25" customHeight="1" x14ac:dyDescent="0.2">
      <c r="A14" s="257" t="e">
        <f>#REF!</f>
        <v>#REF!</v>
      </c>
      <c r="B14" s="252" t="s">
        <v>1069</v>
      </c>
      <c r="C14" s="250" t="e">
        <f>#REF!</f>
        <v>#REF!</v>
      </c>
      <c r="D14" s="258" t="s">
        <v>1075</v>
      </c>
      <c r="E14" s="255" t="e">
        <f>#REF!</f>
        <v>#REF!</v>
      </c>
      <c r="F14" s="255" t="e">
        <f>#REF!</f>
        <v>#REF!</v>
      </c>
      <c r="G14" s="251" t="s">
        <v>1071</v>
      </c>
      <c r="H14" s="252" t="e">
        <f>#REF!-#REF!-#REF!-#REF!-#REF!-#REF!</f>
        <v>#REF!</v>
      </c>
      <c r="I14" s="253">
        <v>0</v>
      </c>
      <c r="J14" s="252" t="e">
        <f t="shared" si="0"/>
        <v>#REF!</v>
      </c>
      <c r="K14" s="252" t="e">
        <f>#REF!+#REF!</f>
        <v>#REF!</v>
      </c>
      <c r="L14" s="252" t="e">
        <f>+#REF!</f>
        <v>#REF!</v>
      </c>
      <c r="M14" s="252" t="e">
        <f>#REF!+#REF!</f>
        <v>#REF!</v>
      </c>
      <c r="N14" s="254" t="e">
        <f t="shared" si="1"/>
        <v>#REF!</v>
      </c>
      <c r="O14" s="252" t="e">
        <f t="shared" si="8"/>
        <v>#REF!</v>
      </c>
      <c r="P14" s="252" t="e">
        <f t="shared" si="9"/>
        <v>#REF!</v>
      </c>
      <c r="Q14" s="252" t="e">
        <f t="shared" si="10"/>
        <v>#REF!</v>
      </c>
      <c r="R14" s="252" t="e">
        <f t="shared" si="2"/>
        <v>#REF!</v>
      </c>
      <c r="S14" s="252" t="e">
        <f t="shared" si="11"/>
        <v>#REF!</v>
      </c>
      <c r="T14" s="255" t="e">
        <f>#REF!</f>
        <v>#REF!</v>
      </c>
      <c r="U14" s="256" t="e">
        <f t="shared" si="12"/>
        <v>#REF!</v>
      </c>
      <c r="V14" s="357">
        <f>(1024300)/12</f>
        <v>85358.333333333328</v>
      </c>
      <c r="W14" s="200">
        <v>0</v>
      </c>
      <c r="X14" s="200"/>
      <c r="Y14" s="200"/>
      <c r="Z14" s="200"/>
      <c r="AA14" s="200">
        <f>+W14+Y14</f>
        <v>0</v>
      </c>
      <c r="AB14" s="201">
        <f t="shared" si="13"/>
        <v>0</v>
      </c>
      <c r="AC14" s="200">
        <v>0</v>
      </c>
      <c r="AD14" s="200"/>
      <c r="AE14" s="200"/>
      <c r="AF14" s="200"/>
      <c r="AG14" s="200">
        <f t="shared" si="4"/>
        <v>0</v>
      </c>
      <c r="AH14" s="201">
        <f t="shared" si="14"/>
        <v>0</v>
      </c>
      <c r="AI14" s="201">
        <f t="shared" si="15"/>
        <v>0</v>
      </c>
      <c r="AJ14" s="205">
        <v>0</v>
      </c>
      <c r="AK14" s="200">
        <v>0</v>
      </c>
      <c r="AL14" s="200"/>
      <c r="AM14" s="200"/>
      <c r="AN14" s="200"/>
      <c r="AO14" s="200">
        <f t="shared" si="5"/>
        <v>0</v>
      </c>
      <c r="AP14" s="202">
        <f t="shared" si="16"/>
        <v>0</v>
      </c>
      <c r="AQ14" s="200"/>
      <c r="AR14" s="200"/>
      <c r="AS14" s="200"/>
      <c r="AT14" s="200"/>
      <c r="AU14" s="200"/>
      <c r="AV14" s="203">
        <f t="shared" si="17"/>
        <v>0</v>
      </c>
      <c r="AW14" s="201">
        <f t="shared" si="6"/>
        <v>2684000</v>
      </c>
      <c r="AX14" s="204">
        <f t="shared" si="18"/>
        <v>0</v>
      </c>
      <c r="AY14" s="200" t="e">
        <f t="shared" si="19"/>
        <v>#REF!</v>
      </c>
      <c r="AZ14" s="200" t="e">
        <f t="shared" si="20"/>
        <v>#REF!</v>
      </c>
      <c r="BA14" s="301" t="e">
        <f t="shared" si="21"/>
        <v>#REF!</v>
      </c>
      <c r="BB14" s="302">
        <f t="shared" si="7"/>
        <v>0</v>
      </c>
      <c r="BC14" s="193"/>
      <c r="BD14" s="193"/>
    </row>
    <row r="15" spans="1:57" ht="10.5" x14ac:dyDescent="0.2">
      <c r="A15" s="257" t="e">
        <f>#REF!</f>
        <v>#REF!</v>
      </c>
      <c r="B15" s="252" t="s">
        <v>1069</v>
      </c>
      <c r="C15" s="250" t="e">
        <f>#REF!</f>
        <v>#REF!</v>
      </c>
      <c r="D15" s="258" t="s">
        <v>1077</v>
      </c>
      <c r="E15" s="255" t="e">
        <f>#REF!</f>
        <v>#REF!</v>
      </c>
      <c r="F15" s="255" t="e">
        <f>#REF!</f>
        <v>#REF!</v>
      </c>
      <c r="G15" s="251" t="s">
        <v>1071</v>
      </c>
      <c r="H15" s="252" t="e">
        <f>#REF!-#REF!-#REF!-#REF!-#REF!-#REF!</f>
        <v>#REF!</v>
      </c>
      <c r="I15" s="253">
        <v>0</v>
      </c>
      <c r="J15" s="252" t="e">
        <f t="shared" si="0"/>
        <v>#REF!</v>
      </c>
      <c r="K15" s="252" t="e">
        <f>#REF!+#REF!</f>
        <v>#REF!</v>
      </c>
      <c r="L15" s="252" t="e">
        <f>+#REF!</f>
        <v>#REF!</v>
      </c>
      <c r="M15" s="252" t="e">
        <f>#REF!+#REF!</f>
        <v>#REF!</v>
      </c>
      <c r="N15" s="254" t="e">
        <f t="shared" si="1"/>
        <v>#REF!</v>
      </c>
      <c r="O15" s="252" t="e">
        <f t="shared" si="8"/>
        <v>#REF!</v>
      </c>
      <c r="P15" s="252" t="e">
        <f t="shared" si="9"/>
        <v>#REF!</v>
      </c>
      <c r="Q15" s="252" t="e">
        <f t="shared" si="10"/>
        <v>#REF!</v>
      </c>
      <c r="R15" s="252" t="e">
        <f t="shared" si="2"/>
        <v>#REF!</v>
      </c>
      <c r="S15" s="252" t="e">
        <f t="shared" si="11"/>
        <v>#REF!</v>
      </c>
      <c r="T15" s="255" t="e">
        <f>#REF!</f>
        <v>#REF!</v>
      </c>
      <c r="U15" s="256" t="e">
        <f t="shared" si="12"/>
        <v>#REF!</v>
      </c>
      <c r="V15" s="357">
        <f>(3027600)/12</f>
        <v>252300</v>
      </c>
      <c r="W15" s="200">
        <v>0</v>
      </c>
      <c r="X15" s="200"/>
      <c r="Y15" s="200"/>
      <c r="Z15" s="200"/>
      <c r="AA15" s="200">
        <f t="shared" si="3"/>
        <v>0</v>
      </c>
      <c r="AB15" s="201">
        <f t="shared" si="13"/>
        <v>0</v>
      </c>
      <c r="AC15" s="200">
        <v>0</v>
      </c>
      <c r="AD15" s="200"/>
      <c r="AE15" s="200"/>
      <c r="AF15" s="200"/>
      <c r="AG15" s="200">
        <f t="shared" si="4"/>
        <v>0</v>
      </c>
      <c r="AH15" s="201">
        <f t="shared" si="14"/>
        <v>0</v>
      </c>
      <c r="AI15" s="201">
        <f t="shared" si="15"/>
        <v>0</v>
      </c>
      <c r="AJ15" s="205">
        <v>0</v>
      </c>
      <c r="AK15" s="200">
        <v>20063553.879999999</v>
      </c>
      <c r="AL15" s="200" t="s">
        <v>1079</v>
      </c>
      <c r="AM15" s="200"/>
      <c r="AN15" s="200"/>
      <c r="AO15" s="200">
        <f t="shared" si="5"/>
        <v>20063553.879999999</v>
      </c>
      <c r="AP15" s="202">
        <f t="shared" si="16"/>
        <v>1671962.8233333332</v>
      </c>
      <c r="AQ15" s="200"/>
      <c r="AR15" s="200"/>
      <c r="AS15" s="200"/>
      <c r="AT15" s="200"/>
      <c r="AU15" s="200"/>
      <c r="AV15" s="203">
        <f t="shared" si="17"/>
        <v>1671962.8233333332</v>
      </c>
      <c r="AW15" s="201">
        <f t="shared" si="6"/>
        <v>2684000</v>
      </c>
      <c r="AX15" s="204">
        <f t="shared" si="18"/>
        <v>0</v>
      </c>
      <c r="AY15" s="200" t="e">
        <f t="shared" si="19"/>
        <v>#REF!</v>
      </c>
      <c r="AZ15" s="200" t="e">
        <f t="shared" si="20"/>
        <v>#REF!</v>
      </c>
      <c r="BA15" s="301" t="e">
        <f t="shared" si="21"/>
        <v>#REF!</v>
      </c>
      <c r="BB15" s="302">
        <f t="shared" si="7"/>
        <v>1671962.8233333332</v>
      </c>
      <c r="BC15" s="193"/>
      <c r="BD15" s="193"/>
    </row>
    <row r="16" spans="1:57" ht="10.5" x14ac:dyDescent="0.2">
      <c r="A16" s="257" t="e">
        <f>#REF!</f>
        <v>#REF!</v>
      </c>
      <c r="B16" s="252" t="s">
        <v>1069</v>
      </c>
      <c r="C16" s="250" t="e">
        <f>#REF!</f>
        <v>#REF!</v>
      </c>
      <c r="D16" s="250" t="s">
        <v>1070</v>
      </c>
      <c r="E16" s="255" t="e">
        <f>#REF!</f>
        <v>#REF!</v>
      </c>
      <c r="F16" s="255" t="e">
        <f>#REF!</f>
        <v>#REF!</v>
      </c>
      <c r="G16" s="251" t="s">
        <v>1071</v>
      </c>
      <c r="H16" s="252" t="e">
        <f>#REF!-#REF!-#REF!-#REF!-#REF!-#REF!</f>
        <v>#REF!</v>
      </c>
      <c r="I16" s="253">
        <v>0</v>
      </c>
      <c r="J16" s="252" t="e">
        <f t="shared" si="0"/>
        <v>#REF!</v>
      </c>
      <c r="K16" s="252" t="e">
        <f>#REF!+#REF!</f>
        <v>#REF!</v>
      </c>
      <c r="L16" s="252" t="e">
        <f>+#REF!</f>
        <v>#REF!</v>
      </c>
      <c r="M16" s="252" t="e">
        <f>#REF!+#REF!</f>
        <v>#REF!</v>
      </c>
      <c r="N16" s="254" t="e">
        <f t="shared" si="1"/>
        <v>#REF!</v>
      </c>
      <c r="O16" s="252" t="e">
        <f t="shared" si="8"/>
        <v>#REF!</v>
      </c>
      <c r="P16" s="252" t="e">
        <f t="shared" si="9"/>
        <v>#REF!</v>
      </c>
      <c r="Q16" s="252" t="e">
        <f t="shared" si="10"/>
        <v>#REF!</v>
      </c>
      <c r="R16" s="252" t="e">
        <f t="shared" si="2"/>
        <v>#REF!</v>
      </c>
      <c r="S16" s="252" t="e">
        <f t="shared" si="11"/>
        <v>#REF!</v>
      </c>
      <c r="T16" s="255" t="e">
        <f>#REF!</f>
        <v>#REF!</v>
      </c>
      <c r="U16" s="256" t="e">
        <f t="shared" si="12"/>
        <v>#REF!</v>
      </c>
      <c r="V16" s="357">
        <f>(2082200/12)</f>
        <v>173516.66666666666</v>
      </c>
      <c r="W16" s="200">
        <v>4220000</v>
      </c>
      <c r="X16" s="200" t="s">
        <v>1072</v>
      </c>
      <c r="Y16" s="200"/>
      <c r="Z16" s="200"/>
      <c r="AA16" s="200">
        <f t="shared" si="3"/>
        <v>4220000</v>
      </c>
      <c r="AB16" s="201">
        <f t="shared" si="13"/>
        <v>351666.66666666669</v>
      </c>
      <c r="AC16" s="200">
        <v>0</v>
      </c>
      <c r="AD16" s="200"/>
      <c r="AE16" s="200"/>
      <c r="AF16" s="200"/>
      <c r="AG16" s="200">
        <f t="shared" si="4"/>
        <v>0</v>
      </c>
      <c r="AH16" s="201">
        <f t="shared" si="14"/>
        <v>0</v>
      </c>
      <c r="AI16" s="201">
        <f t="shared" si="15"/>
        <v>351666.66666666669</v>
      </c>
      <c r="AJ16" s="205">
        <v>351667</v>
      </c>
      <c r="AK16" s="200">
        <v>0</v>
      </c>
      <c r="AL16" s="200"/>
      <c r="AM16" s="200"/>
      <c r="AN16" s="200"/>
      <c r="AO16" s="200">
        <f t="shared" si="5"/>
        <v>0</v>
      </c>
      <c r="AP16" s="202">
        <f t="shared" si="16"/>
        <v>0</v>
      </c>
      <c r="AQ16" s="200"/>
      <c r="AR16" s="200"/>
      <c r="AS16" s="200"/>
      <c r="AT16" s="200"/>
      <c r="AU16" s="200"/>
      <c r="AV16" s="203">
        <f t="shared" si="17"/>
        <v>0</v>
      </c>
      <c r="AW16" s="201">
        <f t="shared" si="6"/>
        <v>2684000</v>
      </c>
      <c r="AX16" s="204">
        <f t="shared" si="18"/>
        <v>351666.66666666669</v>
      </c>
      <c r="AY16" s="200" t="e">
        <f t="shared" si="19"/>
        <v>#REF!</v>
      </c>
      <c r="AZ16" s="200" t="e">
        <f t="shared" si="20"/>
        <v>#REF!</v>
      </c>
      <c r="BA16" s="301" t="e">
        <f t="shared" si="21"/>
        <v>#REF!</v>
      </c>
      <c r="BB16" s="302">
        <f t="shared" si="7"/>
        <v>351666.66666666669</v>
      </c>
      <c r="BC16" s="193"/>
      <c r="BD16" s="193"/>
    </row>
    <row r="17" spans="1:56" ht="11.25" customHeight="1" x14ac:dyDescent="0.2">
      <c r="A17" s="257" t="e">
        <f>#REF!</f>
        <v>#REF!</v>
      </c>
      <c r="B17" s="252" t="s">
        <v>1069</v>
      </c>
      <c r="C17" s="250" t="e">
        <f>#REF!</f>
        <v>#REF!</v>
      </c>
      <c r="D17" s="250" t="s">
        <v>1070</v>
      </c>
      <c r="E17" s="255" t="e">
        <f>#REF!</f>
        <v>#REF!</v>
      </c>
      <c r="F17" s="255" t="e">
        <f>#REF!</f>
        <v>#REF!</v>
      </c>
      <c r="G17" s="251" t="s">
        <v>1071</v>
      </c>
      <c r="H17" s="252" t="e">
        <f>#REF!-#REF!-#REF!-#REF!-#REF!-#REF!</f>
        <v>#REF!</v>
      </c>
      <c r="I17" s="253">
        <v>0</v>
      </c>
      <c r="J17" s="252" t="e">
        <f t="shared" si="0"/>
        <v>#REF!</v>
      </c>
      <c r="K17" s="252" t="e">
        <f>#REF!+#REF!</f>
        <v>#REF!</v>
      </c>
      <c r="L17" s="252" t="e">
        <f>+#REF!</f>
        <v>#REF!</v>
      </c>
      <c r="M17" s="252" t="e">
        <f>#REF!+#REF!</f>
        <v>#REF!</v>
      </c>
      <c r="N17" s="254" t="e">
        <f t="shared" si="1"/>
        <v>#REF!</v>
      </c>
      <c r="O17" s="252" t="e">
        <f t="shared" si="8"/>
        <v>#REF!</v>
      </c>
      <c r="P17" s="252" t="e">
        <f t="shared" si="9"/>
        <v>#REF!</v>
      </c>
      <c r="Q17" s="252" t="e">
        <f t="shared" si="10"/>
        <v>#REF!</v>
      </c>
      <c r="R17" s="252" t="e">
        <f t="shared" si="2"/>
        <v>#REF!</v>
      </c>
      <c r="S17" s="252" t="e">
        <f t="shared" si="11"/>
        <v>#REF!</v>
      </c>
      <c r="T17" s="255">
        <v>30</v>
      </c>
      <c r="U17" s="256" t="e">
        <f t="shared" si="12"/>
        <v>#REF!</v>
      </c>
      <c r="V17" s="357">
        <f>(2059900)/12</f>
        <v>171658.33333333334</v>
      </c>
      <c r="W17" s="200">
        <v>0</v>
      </c>
      <c r="X17" s="200"/>
      <c r="Y17" s="200"/>
      <c r="Z17" s="200"/>
      <c r="AA17" s="200">
        <f>+W17+Y17</f>
        <v>0</v>
      </c>
      <c r="AB17" s="201">
        <f t="shared" si="13"/>
        <v>0</v>
      </c>
      <c r="AC17" s="200">
        <v>0</v>
      </c>
      <c r="AD17" s="200"/>
      <c r="AE17" s="200"/>
      <c r="AF17" s="200"/>
      <c r="AG17" s="200">
        <f t="shared" si="4"/>
        <v>0</v>
      </c>
      <c r="AH17" s="201">
        <f t="shared" si="14"/>
        <v>0</v>
      </c>
      <c r="AI17" s="201">
        <f t="shared" si="15"/>
        <v>0</v>
      </c>
      <c r="AJ17" s="205">
        <v>0</v>
      </c>
      <c r="AK17" s="200">
        <v>0</v>
      </c>
      <c r="AL17" s="200"/>
      <c r="AM17" s="200"/>
      <c r="AN17" s="200"/>
      <c r="AO17" s="200">
        <f t="shared" si="5"/>
        <v>0</v>
      </c>
      <c r="AP17" s="202">
        <f t="shared" si="16"/>
        <v>0</v>
      </c>
      <c r="AQ17" s="200"/>
      <c r="AR17" s="200"/>
      <c r="AS17" s="200"/>
      <c r="AT17" s="200"/>
      <c r="AU17" s="200"/>
      <c r="AV17" s="203">
        <f t="shared" si="17"/>
        <v>0</v>
      </c>
      <c r="AW17" s="201">
        <f t="shared" si="6"/>
        <v>2684000</v>
      </c>
      <c r="AX17" s="204">
        <f t="shared" si="18"/>
        <v>0</v>
      </c>
      <c r="AY17" s="200" t="e">
        <f t="shared" si="19"/>
        <v>#REF!</v>
      </c>
      <c r="AZ17" s="200" t="e">
        <f t="shared" si="20"/>
        <v>#REF!</v>
      </c>
      <c r="BA17" s="301" t="e">
        <f t="shared" si="21"/>
        <v>#REF!</v>
      </c>
      <c r="BB17" s="302">
        <f t="shared" si="7"/>
        <v>0</v>
      </c>
      <c r="BC17" s="193"/>
      <c r="BD17" s="193"/>
    </row>
    <row r="18" spans="1:56" ht="11.25" customHeight="1" x14ac:dyDescent="0.2">
      <c r="A18" s="257" t="e">
        <f>#REF!</f>
        <v>#REF!</v>
      </c>
      <c r="B18" s="252" t="s">
        <v>1069</v>
      </c>
      <c r="C18" s="250" t="e">
        <f>#REF!</f>
        <v>#REF!</v>
      </c>
      <c r="D18" s="250" t="s">
        <v>1070</v>
      </c>
      <c r="E18" s="255" t="e">
        <f>#REF!</f>
        <v>#REF!</v>
      </c>
      <c r="F18" s="255" t="e">
        <f>#REF!</f>
        <v>#REF!</v>
      </c>
      <c r="G18" s="251" t="s">
        <v>1071</v>
      </c>
      <c r="H18" s="252" t="e">
        <f>#REF!-#REF!-#REF!-#REF!-#REF!-#REF!</f>
        <v>#REF!</v>
      </c>
      <c r="I18" s="253">
        <v>0</v>
      </c>
      <c r="J18" s="252" t="e">
        <f t="shared" si="0"/>
        <v>#REF!</v>
      </c>
      <c r="K18" s="252" t="e">
        <f>#REF!+#REF!</f>
        <v>#REF!</v>
      </c>
      <c r="L18" s="252" t="e">
        <f>+#REF!</f>
        <v>#REF!</v>
      </c>
      <c r="M18" s="252" t="e">
        <f>#REF!+#REF!</f>
        <v>#REF!</v>
      </c>
      <c r="N18" s="254" t="e">
        <f t="shared" si="1"/>
        <v>#REF!</v>
      </c>
      <c r="O18" s="252" t="e">
        <f t="shared" si="8"/>
        <v>#REF!</v>
      </c>
      <c r="P18" s="252" t="e">
        <f t="shared" si="9"/>
        <v>#REF!</v>
      </c>
      <c r="Q18" s="252" t="e">
        <f t="shared" si="10"/>
        <v>#REF!</v>
      </c>
      <c r="R18" s="252" t="e">
        <f t="shared" si="2"/>
        <v>#REF!</v>
      </c>
      <c r="S18" s="252" t="e">
        <f t="shared" si="11"/>
        <v>#REF!</v>
      </c>
      <c r="T18" s="255" t="e">
        <f>#REF!</f>
        <v>#REF!</v>
      </c>
      <c r="U18" s="256" t="e">
        <f t="shared" si="12"/>
        <v>#REF!</v>
      </c>
      <c r="V18" s="357">
        <f>(2035100)/12</f>
        <v>169591.66666666666</v>
      </c>
      <c r="W18" s="200">
        <v>0</v>
      </c>
      <c r="X18" s="200"/>
      <c r="Y18" s="200"/>
      <c r="Z18" s="200"/>
      <c r="AA18" s="200">
        <f t="shared" si="3"/>
        <v>0</v>
      </c>
      <c r="AB18" s="201">
        <f t="shared" si="13"/>
        <v>0</v>
      </c>
      <c r="AC18" s="200">
        <v>2467310</v>
      </c>
      <c r="AD18" s="200" t="s">
        <v>1072</v>
      </c>
      <c r="AE18" s="200"/>
      <c r="AF18" s="200"/>
      <c r="AG18" s="200">
        <f>+AC18+AE18</f>
        <v>2467310</v>
      </c>
      <c r="AH18" s="201">
        <f t="shared" si="14"/>
        <v>246731</v>
      </c>
      <c r="AI18" s="201">
        <f t="shared" si="15"/>
        <v>246731</v>
      </c>
      <c r="AJ18" s="205">
        <v>205609</v>
      </c>
      <c r="AK18" s="200">
        <v>0</v>
      </c>
      <c r="AL18" s="200"/>
      <c r="AM18" s="200"/>
      <c r="AN18" s="200"/>
      <c r="AO18" s="200">
        <f t="shared" si="5"/>
        <v>0</v>
      </c>
      <c r="AP18" s="202">
        <f t="shared" si="16"/>
        <v>0</v>
      </c>
      <c r="AQ18" s="200"/>
      <c r="AR18" s="200"/>
      <c r="AS18" s="200"/>
      <c r="AT18" s="200"/>
      <c r="AU18" s="200"/>
      <c r="AV18" s="203">
        <f t="shared" si="17"/>
        <v>0</v>
      </c>
      <c r="AW18" s="201">
        <f t="shared" si="6"/>
        <v>2684000</v>
      </c>
      <c r="AX18" s="204">
        <f t="shared" si="18"/>
        <v>205609</v>
      </c>
      <c r="AY18" s="200" t="e">
        <f t="shared" si="19"/>
        <v>#REF!</v>
      </c>
      <c r="AZ18" s="200" t="e">
        <f t="shared" si="20"/>
        <v>#REF!</v>
      </c>
      <c r="BA18" s="301" t="e">
        <f t="shared" si="21"/>
        <v>#REF!</v>
      </c>
      <c r="BB18" s="302">
        <f t="shared" si="7"/>
        <v>205609</v>
      </c>
      <c r="BC18" s="193"/>
      <c r="BD18" s="193"/>
    </row>
    <row r="19" spans="1:56" ht="11.25" customHeight="1" x14ac:dyDescent="0.2">
      <c r="A19" s="257" t="e">
        <f>#REF!</f>
        <v>#REF!</v>
      </c>
      <c r="B19" s="252" t="s">
        <v>1069</v>
      </c>
      <c r="C19" s="250" t="e">
        <f>#REF!</f>
        <v>#REF!</v>
      </c>
      <c r="D19" s="250" t="s">
        <v>1070</v>
      </c>
      <c r="E19" s="255" t="e">
        <f>#REF!</f>
        <v>#REF!</v>
      </c>
      <c r="F19" s="255" t="e">
        <f>#REF!</f>
        <v>#REF!</v>
      </c>
      <c r="G19" s="251" t="s">
        <v>1071</v>
      </c>
      <c r="H19" s="252" t="e">
        <f>#REF!-#REF!-#REF!-#REF!-#REF!-#REF!</f>
        <v>#REF!</v>
      </c>
      <c r="I19" s="253">
        <v>0</v>
      </c>
      <c r="J19" s="252" t="e">
        <f t="shared" si="0"/>
        <v>#REF!</v>
      </c>
      <c r="K19" s="252" t="e">
        <f>#REF!+#REF!</f>
        <v>#REF!</v>
      </c>
      <c r="L19" s="252" t="e">
        <f>+#REF!</f>
        <v>#REF!</v>
      </c>
      <c r="M19" s="252" t="e">
        <f>#REF!+#REF!</f>
        <v>#REF!</v>
      </c>
      <c r="N19" s="254" t="e">
        <f t="shared" si="1"/>
        <v>#REF!</v>
      </c>
      <c r="O19" s="252" t="e">
        <f t="shared" si="8"/>
        <v>#REF!</v>
      </c>
      <c r="P19" s="252" t="e">
        <f t="shared" si="9"/>
        <v>#REF!</v>
      </c>
      <c r="Q19" s="252" t="e">
        <f t="shared" si="10"/>
        <v>#REF!</v>
      </c>
      <c r="R19" s="252" t="e">
        <f t="shared" si="2"/>
        <v>#REF!</v>
      </c>
      <c r="S19" s="252" t="e">
        <f t="shared" si="11"/>
        <v>#REF!</v>
      </c>
      <c r="T19" s="255" t="e">
        <f>#REF!</f>
        <v>#REF!</v>
      </c>
      <c r="U19" s="256" t="e">
        <f t="shared" si="12"/>
        <v>#REF!</v>
      </c>
      <c r="V19" s="357">
        <f>(2035000)/12</f>
        <v>169583.33333333334</v>
      </c>
      <c r="W19" s="200">
        <v>0</v>
      </c>
      <c r="X19" s="200">
        <v>0</v>
      </c>
      <c r="Y19" s="200"/>
      <c r="Z19" s="200"/>
      <c r="AA19" s="200">
        <f>+W19+Y19</f>
        <v>0</v>
      </c>
      <c r="AB19" s="201">
        <f t="shared" si="13"/>
        <v>0</v>
      </c>
      <c r="AC19" s="200">
        <v>0</v>
      </c>
      <c r="AD19" s="200"/>
      <c r="AE19" s="200"/>
      <c r="AF19" s="200"/>
      <c r="AG19" s="200">
        <f t="shared" si="4"/>
        <v>0</v>
      </c>
      <c r="AH19" s="201">
        <f t="shared" si="14"/>
        <v>0</v>
      </c>
      <c r="AI19" s="201">
        <f t="shared" si="15"/>
        <v>0</v>
      </c>
      <c r="AJ19" s="205">
        <v>0</v>
      </c>
      <c r="AK19" s="200">
        <v>0</v>
      </c>
      <c r="AL19" s="200"/>
      <c r="AM19" s="200"/>
      <c r="AN19" s="200"/>
      <c r="AO19" s="200">
        <f t="shared" si="5"/>
        <v>0</v>
      </c>
      <c r="AP19" s="202">
        <f t="shared" si="16"/>
        <v>0</v>
      </c>
      <c r="AQ19" s="200"/>
      <c r="AR19" s="200"/>
      <c r="AS19" s="200"/>
      <c r="AT19" s="200"/>
      <c r="AU19" s="200"/>
      <c r="AV19" s="203">
        <f t="shared" si="17"/>
        <v>0</v>
      </c>
      <c r="AW19" s="201">
        <f t="shared" si="6"/>
        <v>2684000</v>
      </c>
      <c r="AX19" s="204">
        <f t="shared" si="18"/>
        <v>0</v>
      </c>
      <c r="AY19" s="200" t="e">
        <f t="shared" si="19"/>
        <v>#REF!</v>
      </c>
      <c r="AZ19" s="200" t="e">
        <f t="shared" si="20"/>
        <v>#REF!</v>
      </c>
      <c r="BA19" s="301" t="e">
        <f t="shared" si="21"/>
        <v>#REF!</v>
      </c>
      <c r="BB19" s="302">
        <f t="shared" si="7"/>
        <v>0</v>
      </c>
      <c r="BC19" s="193"/>
      <c r="BD19" s="193"/>
    </row>
    <row r="20" spans="1:56" ht="11.25" customHeight="1" x14ac:dyDescent="0.2">
      <c r="A20" s="257" t="e">
        <f>#REF!</f>
        <v>#REF!</v>
      </c>
      <c r="B20" s="252" t="s">
        <v>1069</v>
      </c>
      <c r="C20" s="250" t="e">
        <f>#REF!</f>
        <v>#REF!</v>
      </c>
      <c r="D20" s="258" t="s">
        <v>1070</v>
      </c>
      <c r="E20" s="255" t="e">
        <f>#REF!</f>
        <v>#REF!</v>
      </c>
      <c r="F20" s="255" t="e">
        <f>#REF!</f>
        <v>#REF!</v>
      </c>
      <c r="G20" s="251" t="s">
        <v>1071</v>
      </c>
      <c r="H20" s="252" t="e">
        <f>#REF!-#REF!-#REF!-#REF!-#REF!-#REF!</f>
        <v>#REF!</v>
      </c>
      <c r="I20" s="253">
        <v>0</v>
      </c>
      <c r="J20" s="252" t="e">
        <f t="shared" si="0"/>
        <v>#REF!</v>
      </c>
      <c r="K20" s="252" t="e">
        <f>#REF!+#REF!</f>
        <v>#REF!</v>
      </c>
      <c r="L20" s="252" t="e">
        <f>+#REF!</f>
        <v>#REF!</v>
      </c>
      <c r="M20" s="252" t="e">
        <f>#REF!+#REF!</f>
        <v>#REF!</v>
      </c>
      <c r="N20" s="254" t="e">
        <f t="shared" si="1"/>
        <v>#REF!</v>
      </c>
      <c r="O20" s="252" t="e">
        <f t="shared" si="8"/>
        <v>#REF!</v>
      </c>
      <c r="P20" s="252" t="e">
        <f t="shared" si="9"/>
        <v>#REF!</v>
      </c>
      <c r="Q20" s="252" t="e">
        <f t="shared" si="10"/>
        <v>#REF!</v>
      </c>
      <c r="R20" s="252" t="e">
        <f t="shared" si="2"/>
        <v>#REF!</v>
      </c>
      <c r="S20" s="252" t="e">
        <f t="shared" si="11"/>
        <v>#REF!</v>
      </c>
      <c r="T20" s="255">
        <v>30</v>
      </c>
      <c r="U20" s="256" t="e">
        <f t="shared" si="12"/>
        <v>#REF!</v>
      </c>
      <c r="V20" s="357">
        <f>(1001300)/12</f>
        <v>83441.666666666672</v>
      </c>
      <c r="W20" s="200">
        <v>0</v>
      </c>
      <c r="X20" s="200"/>
      <c r="Y20" s="200"/>
      <c r="Z20" s="200"/>
      <c r="AA20" s="200">
        <f t="shared" si="3"/>
        <v>0</v>
      </c>
      <c r="AB20" s="201">
        <f t="shared" si="13"/>
        <v>0</v>
      </c>
      <c r="AC20" s="200">
        <v>0</v>
      </c>
      <c r="AD20" s="200"/>
      <c r="AE20" s="200"/>
      <c r="AF20" s="200"/>
      <c r="AG20" s="200">
        <f t="shared" si="4"/>
        <v>0</v>
      </c>
      <c r="AH20" s="201">
        <f t="shared" si="14"/>
        <v>0</v>
      </c>
      <c r="AI20" s="201">
        <f t="shared" si="15"/>
        <v>0</v>
      </c>
      <c r="AJ20" s="205">
        <v>0</v>
      </c>
      <c r="AK20" s="200">
        <v>0</v>
      </c>
      <c r="AL20" s="200"/>
      <c r="AM20" s="200"/>
      <c r="AN20" s="200"/>
      <c r="AO20" s="200">
        <f t="shared" si="5"/>
        <v>0</v>
      </c>
      <c r="AP20" s="202">
        <f t="shared" si="16"/>
        <v>0</v>
      </c>
      <c r="AQ20" s="200"/>
      <c r="AR20" s="200"/>
      <c r="AS20" s="200"/>
      <c r="AT20" s="200"/>
      <c r="AU20" s="200"/>
      <c r="AV20" s="203">
        <f t="shared" si="17"/>
        <v>0</v>
      </c>
      <c r="AW20" s="201">
        <f t="shared" si="6"/>
        <v>2684000</v>
      </c>
      <c r="AX20" s="204">
        <f t="shared" si="18"/>
        <v>0</v>
      </c>
      <c r="AY20" s="200" t="e">
        <f t="shared" si="19"/>
        <v>#REF!</v>
      </c>
      <c r="AZ20" s="200" t="e">
        <f t="shared" si="20"/>
        <v>#REF!</v>
      </c>
      <c r="BA20" s="301" t="e">
        <f t="shared" si="21"/>
        <v>#REF!</v>
      </c>
      <c r="BB20" s="302">
        <f t="shared" si="7"/>
        <v>0</v>
      </c>
      <c r="BC20" s="193"/>
      <c r="BD20" s="193"/>
    </row>
    <row r="21" spans="1:56" ht="10.5" x14ac:dyDescent="0.2">
      <c r="A21" s="257" t="e">
        <f>#REF!</f>
        <v>#REF!</v>
      </c>
      <c r="B21" s="252" t="s">
        <v>1069</v>
      </c>
      <c r="C21" s="250" t="e">
        <f>#REF!</f>
        <v>#REF!</v>
      </c>
      <c r="D21" s="258" t="s">
        <v>904</v>
      </c>
      <c r="E21" s="255" t="e">
        <f>#REF!</f>
        <v>#REF!</v>
      </c>
      <c r="F21" s="255" t="e">
        <f>#REF!</f>
        <v>#REF!</v>
      </c>
      <c r="G21" s="251" t="s">
        <v>1071</v>
      </c>
      <c r="H21" s="252" t="e">
        <f>#REF!-#REF!-#REF!-#REF!-#REF!-#REF!</f>
        <v>#REF!</v>
      </c>
      <c r="I21" s="253">
        <v>0</v>
      </c>
      <c r="J21" s="252" t="e">
        <f t="shared" si="0"/>
        <v>#REF!</v>
      </c>
      <c r="K21" s="252" t="e">
        <f>#REF!+#REF!</f>
        <v>#REF!</v>
      </c>
      <c r="L21" s="252" t="e">
        <f>+#REF!</f>
        <v>#REF!</v>
      </c>
      <c r="M21" s="252" t="e">
        <f>#REF!+#REF!</f>
        <v>#REF!</v>
      </c>
      <c r="N21" s="254" t="e">
        <f t="shared" si="1"/>
        <v>#REF!</v>
      </c>
      <c r="O21" s="252" t="e">
        <f t="shared" si="8"/>
        <v>#REF!</v>
      </c>
      <c r="P21" s="252" t="e">
        <f t="shared" si="9"/>
        <v>#REF!</v>
      </c>
      <c r="Q21" s="252" t="e">
        <f t="shared" si="10"/>
        <v>#REF!</v>
      </c>
      <c r="R21" s="252" t="e">
        <f t="shared" si="2"/>
        <v>#REF!</v>
      </c>
      <c r="S21" s="252" t="e">
        <f t="shared" si="11"/>
        <v>#REF!</v>
      </c>
      <c r="T21" s="255" t="e">
        <f>#REF!</f>
        <v>#REF!</v>
      </c>
      <c r="U21" s="256" t="e">
        <f t="shared" si="12"/>
        <v>#REF!</v>
      </c>
      <c r="V21" s="357">
        <f>(2004200/12)</f>
        <v>167016.66666666666</v>
      </c>
      <c r="W21" s="200">
        <v>0</v>
      </c>
      <c r="X21" s="200"/>
      <c r="Y21" s="200"/>
      <c r="Z21" s="200"/>
      <c r="AA21" s="200">
        <f t="shared" si="3"/>
        <v>0</v>
      </c>
      <c r="AB21" s="201">
        <f t="shared" si="13"/>
        <v>0</v>
      </c>
      <c r="AC21" s="200">
        <v>0</v>
      </c>
      <c r="AD21" s="200"/>
      <c r="AE21" s="200"/>
      <c r="AF21" s="200"/>
      <c r="AG21" s="200">
        <f t="shared" si="4"/>
        <v>0</v>
      </c>
      <c r="AH21" s="201">
        <f t="shared" si="14"/>
        <v>0</v>
      </c>
      <c r="AI21" s="201">
        <f t="shared" si="15"/>
        <v>0</v>
      </c>
      <c r="AJ21" s="205">
        <v>0</v>
      </c>
      <c r="AK21" s="200">
        <v>0</v>
      </c>
      <c r="AL21" s="200"/>
      <c r="AM21" s="200"/>
      <c r="AN21" s="200"/>
      <c r="AO21" s="200">
        <f t="shared" si="5"/>
        <v>0</v>
      </c>
      <c r="AP21" s="202">
        <f t="shared" si="16"/>
        <v>0</v>
      </c>
      <c r="AQ21" s="200"/>
      <c r="AR21" s="200"/>
      <c r="AS21" s="200"/>
      <c r="AT21" s="200"/>
      <c r="AU21" s="200"/>
      <c r="AV21" s="203">
        <f t="shared" si="17"/>
        <v>0</v>
      </c>
      <c r="AW21" s="201">
        <f t="shared" si="6"/>
        <v>2684000</v>
      </c>
      <c r="AX21" s="204">
        <f t="shared" si="18"/>
        <v>0</v>
      </c>
      <c r="AY21" s="200" t="e">
        <f t="shared" si="19"/>
        <v>#REF!</v>
      </c>
      <c r="AZ21" s="200" t="e">
        <f t="shared" si="20"/>
        <v>#REF!</v>
      </c>
      <c r="BA21" s="301" t="e">
        <f t="shared" si="21"/>
        <v>#REF!</v>
      </c>
      <c r="BB21" s="302">
        <f t="shared" si="7"/>
        <v>0</v>
      </c>
      <c r="BC21" s="193"/>
      <c r="BD21" s="193"/>
    </row>
    <row r="22" spans="1:56" ht="11.25" customHeight="1" x14ac:dyDescent="0.2">
      <c r="A22" s="257" t="e">
        <f>#REF!</f>
        <v>#REF!</v>
      </c>
      <c r="B22" s="252" t="s">
        <v>1069</v>
      </c>
      <c r="C22" s="250" t="e">
        <f>#REF!</f>
        <v>#REF!</v>
      </c>
      <c r="D22" s="258" t="s">
        <v>1080</v>
      </c>
      <c r="E22" s="255" t="e">
        <f>#REF!</f>
        <v>#REF!</v>
      </c>
      <c r="F22" s="255" t="e">
        <f>#REF!</f>
        <v>#REF!</v>
      </c>
      <c r="G22" s="251" t="s">
        <v>1071</v>
      </c>
      <c r="H22" s="252" t="e">
        <f>#REF!-#REF!-#REF!-#REF!-#REF!-#REF!</f>
        <v>#REF!</v>
      </c>
      <c r="I22" s="253">
        <v>0</v>
      </c>
      <c r="J22" s="252" t="e">
        <f t="shared" si="0"/>
        <v>#REF!</v>
      </c>
      <c r="K22" s="252" t="e">
        <f>#REF!+#REF!</f>
        <v>#REF!</v>
      </c>
      <c r="L22" s="252" t="e">
        <f>+#REF!</f>
        <v>#REF!</v>
      </c>
      <c r="M22" s="252" t="e">
        <f>#REF!+#REF!</f>
        <v>#REF!</v>
      </c>
      <c r="N22" s="254" t="e">
        <f t="shared" si="1"/>
        <v>#REF!</v>
      </c>
      <c r="O22" s="252" t="e">
        <f t="shared" si="8"/>
        <v>#REF!</v>
      </c>
      <c r="P22" s="252" t="e">
        <f t="shared" si="9"/>
        <v>#REF!</v>
      </c>
      <c r="Q22" s="252" t="e">
        <f t="shared" si="10"/>
        <v>#REF!</v>
      </c>
      <c r="R22" s="252" t="e">
        <f t="shared" si="2"/>
        <v>#REF!</v>
      </c>
      <c r="S22" s="252" t="e">
        <f t="shared" si="11"/>
        <v>#REF!</v>
      </c>
      <c r="T22" s="255" t="e">
        <f>#REF!</f>
        <v>#REF!</v>
      </c>
      <c r="U22" s="256" t="e">
        <f t="shared" si="12"/>
        <v>#REF!</v>
      </c>
      <c r="V22" s="357">
        <f>(2046300)/12</f>
        <v>170525</v>
      </c>
      <c r="W22" s="200">
        <v>0</v>
      </c>
      <c r="X22" s="200"/>
      <c r="Y22" s="200"/>
      <c r="Z22" s="200"/>
      <c r="AA22" s="200">
        <f t="shared" si="3"/>
        <v>0</v>
      </c>
      <c r="AB22" s="201">
        <f t="shared" si="13"/>
        <v>0</v>
      </c>
      <c r="AC22" s="200">
        <v>0</v>
      </c>
      <c r="AD22" s="200"/>
      <c r="AE22" s="200"/>
      <c r="AF22" s="200"/>
      <c r="AG22" s="200">
        <f t="shared" si="4"/>
        <v>0</v>
      </c>
      <c r="AH22" s="201">
        <f t="shared" si="14"/>
        <v>0</v>
      </c>
      <c r="AI22" s="201">
        <f t="shared" si="15"/>
        <v>0</v>
      </c>
      <c r="AJ22" s="205">
        <v>0</v>
      </c>
      <c r="AK22" s="200">
        <v>0</v>
      </c>
      <c r="AL22" s="200"/>
      <c r="AM22" s="200"/>
      <c r="AN22" s="200"/>
      <c r="AO22" s="200">
        <f t="shared" si="5"/>
        <v>0</v>
      </c>
      <c r="AP22" s="202">
        <f t="shared" si="16"/>
        <v>0</v>
      </c>
      <c r="AQ22" s="200"/>
      <c r="AR22" s="200"/>
      <c r="AS22" s="200"/>
      <c r="AT22" s="200"/>
      <c r="AU22" s="200"/>
      <c r="AV22" s="203">
        <f t="shared" si="17"/>
        <v>0</v>
      </c>
      <c r="AW22" s="201">
        <f t="shared" si="6"/>
        <v>2684000</v>
      </c>
      <c r="AX22" s="204">
        <f t="shared" si="18"/>
        <v>0</v>
      </c>
      <c r="AY22" s="200" t="e">
        <f t="shared" si="19"/>
        <v>#REF!</v>
      </c>
      <c r="AZ22" s="200" t="e">
        <f t="shared" si="20"/>
        <v>#REF!</v>
      </c>
      <c r="BA22" s="301" t="e">
        <f t="shared" si="21"/>
        <v>#REF!</v>
      </c>
      <c r="BB22" s="302">
        <f t="shared" si="7"/>
        <v>0</v>
      </c>
      <c r="BC22" s="193"/>
      <c r="BD22" s="193"/>
    </row>
    <row r="23" spans="1:56" ht="11.25" customHeight="1" x14ac:dyDescent="0.2">
      <c r="A23" s="257" t="e">
        <f>#REF!</f>
        <v>#REF!</v>
      </c>
      <c r="B23" s="252" t="s">
        <v>1069</v>
      </c>
      <c r="C23" s="250" t="e">
        <f>#REF!</f>
        <v>#REF!</v>
      </c>
      <c r="D23" s="258" t="s">
        <v>1070</v>
      </c>
      <c r="E23" s="255" t="e">
        <f>#REF!</f>
        <v>#REF!</v>
      </c>
      <c r="F23" s="255" t="e">
        <f>#REF!</f>
        <v>#REF!</v>
      </c>
      <c r="G23" s="251" t="s">
        <v>1076</v>
      </c>
      <c r="H23" s="252" t="e">
        <f>#REF!-#REF!-#REF!-#REF!-#REF!-#REF!</f>
        <v>#REF!</v>
      </c>
      <c r="I23" s="253">
        <v>0</v>
      </c>
      <c r="J23" s="252" t="e">
        <f t="shared" si="0"/>
        <v>#REF!</v>
      </c>
      <c r="K23" s="252" t="e">
        <f>#REF!+#REF!</f>
        <v>#REF!</v>
      </c>
      <c r="L23" s="252" t="e">
        <f>+#REF!</f>
        <v>#REF!</v>
      </c>
      <c r="M23" s="252" t="e">
        <f>#REF!+#REF!</f>
        <v>#REF!</v>
      </c>
      <c r="N23" s="254" t="e">
        <f t="shared" si="1"/>
        <v>#REF!</v>
      </c>
      <c r="O23" s="252" t="e">
        <f t="shared" si="8"/>
        <v>#REF!</v>
      </c>
      <c r="P23" s="252" t="e">
        <f t="shared" si="9"/>
        <v>#REF!</v>
      </c>
      <c r="Q23" s="252" t="e">
        <f t="shared" si="10"/>
        <v>#REF!</v>
      </c>
      <c r="R23" s="252" t="e">
        <f t="shared" si="2"/>
        <v>#REF!</v>
      </c>
      <c r="S23" s="252" t="e">
        <f t="shared" si="11"/>
        <v>#REF!</v>
      </c>
      <c r="T23" s="255" t="e">
        <f>#REF!</f>
        <v>#REF!</v>
      </c>
      <c r="U23" s="256" t="e">
        <f t="shared" si="12"/>
        <v>#REF!</v>
      </c>
      <c r="V23" s="357" t="e">
        <f>#REF!</f>
        <v>#REF!</v>
      </c>
      <c r="W23" s="200">
        <v>0</v>
      </c>
      <c r="X23" s="200"/>
      <c r="Y23" s="200"/>
      <c r="Z23" s="200"/>
      <c r="AA23" s="200">
        <f>+W23+Y23</f>
        <v>0</v>
      </c>
      <c r="AB23" s="201">
        <f t="shared" si="13"/>
        <v>0</v>
      </c>
      <c r="AC23" s="200">
        <v>0</v>
      </c>
      <c r="AD23" s="200"/>
      <c r="AE23" s="200"/>
      <c r="AF23" s="200"/>
      <c r="AG23" s="200">
        <f t="shared" si="4"/>
        <v>0</v>
      </c>
      <c r="AH23" s="201">
        <f t="shared" si="14"/>
        <v>0</v>
      </c>
      <c r="AI23" s="201">
        <f t="shared" si="15"/>
        <v>0</v>
      </c>
      <c r="AJ23" s="205">
        <v>0</v>
      </c>
      <c r="AK23" s="200">
        <v>0</v>
      </c>
      <c r="AL23" s="200"/>
      <c r="AM23" s="200"/>
      <c r="AN23" s="200"/>
      <c r="AO23" s="200">
        <f t="shared" si="5"/>
        <v>0</v>
      </c>
      <c r="AP23" s="202">
        <f t="shared" si="16"/>
        <v>0</v>
      </c>
      <c r="AQ23" s="200"/>
      <c r="AR23" s="200"/>
      <c r="AS23" s="200"/>
      <c r="AT23" s="200"/>
      <c r="AU23" s="200"/>
      <c r="AV23" s="203">
        <f t="shared" si="17"/>
        <v>0</v>
      </c>
      <c r="AW23" s="201">
        <f t="shared" si="6"/>
        <v>2684000</v>
      </c>
      <c r="AX23" s="204">
        <f t="shared" si="18"/>
        <v>0</v>
      </c>
      <c r="AY23" s="200" t="e">
        <f t="shared" si="19"/>
        <v>#REF!</v>
      </c>
      <c r="AZ23" s="200" t="e">
        <f t="shared" si="20"/>
        <v>#REF!</v>
      </c>
      <c r="BA23" s="301" t="e">
        <f t="shared" si="21"/>
        <v>#REF!</v>
      </c>
      <c r="BB23" s="302">
        <f t="shared" si="7"/>
        <v>0</v>
      </c>
      <c r="BC23" s="193"/>
      <c r="BD23" s="193"/>
    </row>
    <row r="24" spans="1:56" ht="11.25" customHeight="1" x14ac:dyDescent="0.2">
      <c r="A24" s="257" t="e">
        <f>#REF!</f>
        <v>#REF!</v>
      </c>
      <c r="B24" s="252" t="s">
        <v>1069</v>
      </c>
      <c r="C24" s="250" t="e">
        <f>#REF!</f>
        <v>#REF!</v>
      </c>
      <c r="D24" s="250" t="s">
        <v>1070</v>
      </c>
      <c r="E24" s="255" t="e">
        <f>#REF!</f>
        <v>#REF!</v>
      </c>
      <c r="F24" s="255" t="e">
        <f>#REF!</f>
        <v>#REF!</v>
      </c>
      <c r="G24" s="251" t="s">
        <v>1076</v>
      </c>
      <c r="H24" s="252" t="e">
        <f>#REF!-#REF!-#REF!-#REF!-#REF!-#REF!</f>
        <v>#REF!</v>
      </c>
      <c r="I24" s="253">
        <v>0</v>
      </c>
      <c r="J24" s="252" t="e">
        <f t="shared" si="0"/>
        <v>#REF!</v>
      </c>
      <c r="K24" s="252" t="e">
        <f>#REF!+#REF!</f>
        <v>#REF!</v>
      </c>
      <c r="L24" s="252" t="e">
        <f>+#REF!</f>
        <v>#REF!</v>
      </c>
      <c r="M24" s="252" t="e">
        <f>#REF!+#REF!</f>
        <v>#REF!</v>
      </c>
      <c r="N24" s="254" t="e">
        <f t="shared" si="1"/>
        <v>#REF!</v>
      </c>
      <c r="O24" s="252" t="e">
        <f t="shared" si="8"/>
        <v>#REF!</v>
      </c>
      <c r="P24" s="252" t="e">
        <f t="shared" si="9"/>
        <v>#REF!</v>
      </c>
      <c r="Q24" s="252" t="e">
        <f t="shared" si="10"/>
        <v>#REF!</v>
      </c>
      <c r="R24" s="252" t="e">
        <f t="shared" si="2"/>
        <v>#REF!</v>
      </c>
      <c r="S24" s="252" t="e">
        <f t="shared" si="11"/>
        <v>#REF!</v>
      </c>
      <c r="T24" s="255" t="e">
        <f>#REF!</f>
        <v>#REF!</v>
      </c>
      <c r="U24" s="256" t="e">
        <f t="shared" si="12"/>
        <v>#REF!</v>
      </c>
      <c r="V24" s="357" t="e">
        <f>#REF!</f>
        <v>#REF!</v>
      </c>
      <c r="W24" s="200">
        <v>0</v>
      </c>
      <c r="X24" s="200"/>
      <c r="Y24" s="200"/>
      <c r="Z24" s="200"/>
      <c r="AA24" s="200">
        <f t="shared" si="3"/>
        <v>0</v>
      </c>
      <c r="AB24" s="201">
        <f t="shared" si="13"/>
        <v>0</v>
      </c>
      <c r="AC24" s="200">
        <v>0</v>
      </c>
      <c r="AD24" s="200"/>
      <c r="AE24" s="200"/>
      <c r="AF24" s="200"/>
      <c r="AG24" s="200">
        <f t="shared" si="4"/>
        <v>0</v>
      </c>
      <c r="AH24" s="201">
        <f t="shared" si="14"/>
        <v>0</v>
      </c>
      <c r="AI24" s="201">
        <f t="shared" si="15"/>
        <v>0</v>
      </c>
      <c r="AJ24" s="205">
        <v>0</v>
      </c>
      <c r="AK24" s="200">
        <v>0</v>
      </c>
      <c r="AL24" s="200"/>
      <c r="AM24" s="200"/>
      <c r="AN24" s="200"/>
      <c r="AO24" s="200">
        <f t="shared" si="5"/>
        <v>0</v>
      </c>
      <c r="AP24" s="202">
        <f t="shared" si="16"/>
        <v>0</v>
      </c>
      <c r="AQ24" s="200"/>
      <c r="AR24" s="200"/>
      <c r="AS24" s="200"/>
      <c r="AT24" s="200"/>
      <c r="AU24" s="200"/>
      <c r="AV24" s="203">
        <f t="shared" si="17"/>
        <v>0</v>
      </c>
      <c r="AW24" s="201">
        <f t="shared" si="6"/>
        <v>2684000</v>
      </c>
      <c r="AX24" s="204">
        <f t="shared" si="18"/>
        <v>0</v>
      </c>
      <c r="AY24" s="200" t="e">
        <f t="shared" si="19"/>
        <v>#REF!</v>
      </c>
      <c r="AZ24" s="200" t="e">
        <f t="shared" si="20"/>
        <v>#REF!</v>
      </c>
      <c r="BA24" s="301" t="e">
        <f t="shared" si="21"/>
        <v>#REF!</v>
      </c>
      <c r="BB24" s="302">
        <f t="shared" si="7"/>
        <v>0</v>
      </c>
      <c r="BC24" s="193"/>
      <c r="BD24" s="193"/>
    </row>
    <row r="25" spans="1:56" ht="10.5" x14ac:dyDescent="0.2">
      <c r="A25" s="257" t="e">
        <f>#REF!</f>
        <v>#REF!</v>
      </c>
      <c r="B25" s="252" t="s">
        <v>1069</v>
      </c>
      <c r="C25" s="250" t="e">
        <f>#REF!</f>
        <v>#REF!</v>
      </c>
      <c r="D25" s="258" t="s">
        <v>1080</v>
      </c>
      <c r="E25" s="255" t="e">
        <f>#REF!</f>
        <v>#REF!</v>
      </c>
      <c r="F25" s="255" t="e">
        <f>#REF!</f>
        <v>#REF!</v>
      </c>
      <c r="G25" s="251" t="s">
        <v>1071</v>
      </c>
      <c r="H25" s="252" t="e">
        <f>#REF!-#REF!-#REF!-#REF!-#REF!-#REF!</f>
        <v>#REF!</v>
      </c>
      <c r="I25" s="253">
        <v>0</v>
      </c>
      <c r="J25" s="252" t="e">
        <f t="shared" si="0"/>
        <v>#REF!</v>
      </c>
      <c r="K25" s="252" t="e">
        <f>#REF!+#REF!</f>
        <v>#REF!</v>
      </c>
      <c r="L25" s="252" t="e">
        <f>+#REF!</f>
        <v>#REF!</v>
      </c>
      <c r="M25" s="252" t="e">
        <f>#REF!+#REF!</f>
        <v>#REF!</v>
      </c>
      <c r="N25" s="254" t="e">
        <f t="shared" si="1"/>
        <v>#REF!</v>
      </c>
      <c r="O25" s="252" t="e">
        <f t="shared" si="8"/>
        <v>#REF!</v>
      </c>
      <c r="P25" s="252" t="e">
        <f t="shared" si="9"/>
        <v>#REF!</v>
      </c>
      <c r="Q25" s="252" t="e">
        <f t="shared" si="10"/>
        <v>#REF!</v>
      </c>
      <c r="R25" s="252" t="e">
        <f t="shared" si="2"/>
        <v>#REF!</v>
      </c>
      <c r="S25" s="252" t="e">
        <f t="shared" si="11"/>
        <v>#REF!</v>
      </c>
      <c r="T25" s="255">
        <v>30</v>
      </c>
      <c r="U25" s="256" t="e">
        <f t="shared" si="12"/>
        <v>#REF!</v>
      </c>
      <c r="V25" s="357">
        <f>(978600)/12</f>
        <v>81550</v>
      </c>
      <c r="W25" s="200">
        <v>0</v>
      </c>
      <c r="X25" s="200"/>
      <c r="Y25" s="200"/>
      <c r="Z25" s="200"/>
      <c r="AA25" s="200">
        <f t="shared" si="3"/>
        <v>0</v>
      </c>
      <c r="AB25" s="201">
        <f t="shared" si="13"/>
        <v>0</v>
      </c>
      <c r="AC25" s="200">
        <v>0</v>
      </c>
      <c r="AD25" s="200"/>
      <c r="AE25" s="200"/>
      <c r="AF25" s="200"/>
      <c r="AG25" s="200">
        <f t="shared" si="4"/>
        <v>0</v>
      </c>
      <c r="AH25" s="201">
        <f t="shared" si="14"/>
        <v>0</v>
      </c>
      <c r="AI25" s="201">
        <f t="shared" si="15"/>
        <v>0</v>
      </c>
      <c r="AJ25" s="205">
        <v>0</v>
      </c>
      <c r="AK25" s="200">
        <v>0</v>
      </c>
      <c r="AL25" s="200"/>
      <c r="AM25" s="200"/>
      <c r="AN25" s="200"/>
      <c r="AO25" s="200">
        <f t="shared" si="5"/>
        <v>0</v>
      </c>
      <c r="AP25" s="202">
        <f t="shared" si="16"/>
        <v>0</v>
      </c>
      <c r="AQ25" s="200"/>
      <c r="AR25" s="200"/>
      <c r="AS25" s="200"/>
      <c r="AT25" s="200"/>
      <c r="AU25" s="200"/>
      <c r="AV25" s="203">
        <f t="shared" si="17"/>
        <v>0</v>
      </c>
      <c r="AW25" s="201">
        <f t="shared" si="6"/>
        <v>2684000</v>
      </c>
      <c r="AX25" s="204">
        <f t="shared" si="18"/>
        <v>0</v>
      </c>
      <c r="AY25" s="200" t="e">
        <f t="shared" si="19"/>
        <v>#REF!</v>
      </c>
      <c r="AZ25" s="200" t="e">
        <f t="shared" si="20"/>
        <v>#REF!</v>
      </c>
      <c r="BA25" s="301" t="e">
        <f t="shared" si="21"/>
        <v>#REF!</v>
      </c>
      <c r="BB25" s="302">
        <f t="shared" si="7"/>
        <v>0</v>
      </c>
      <c r="BC25" s="193"/>
      <c r="BD25" s="193"/>
    </row>
    <row r="26" spans="1:56" ht="11.25" customHeight="1" x14ac:dyDescent="0.2">
      <c r="A26" s="257" t="e">
        <f>#REF!</f>
        <v>#REF!</v>
      </c>
      <c r="B26" s="252" t="s">
        <v>1069</v>
      </c>
      <c r="C26" s="250" t="e">
        <f>#REF!</f>
        <v>#REF!</v>
      </c>
      <c r="D26" s="258" t="s">
        <v>1070</v>
      </c>
      <c r="E26" s="255" t="e">
        <f>#REF!</f>
        <v>#REF!</v>
      </c>
      <c r="F26" s="255" t="e">
        <f>#REF!</f>
        <v>#REF!</v>
      </c>
      <c r="G26" s="251" t="s">
        <v>1071</v>
      </c>
      <c r="H26" s="252" t="e">
        <f>#REF!-#REF!-#REF!-#REF!-#REF!-#REF!</f>
        <v>#REF!</v>
      </c>
      <c r="I26" s="253">
        <v>0</v>
      </c>
      <c r="J26" s="252" t="e">
        <f t="shared" si="0"/>
        <v>#REF!</v>
      </c>
      <c r="K26" s="252" t="e">
        <f>#REF!+#REF!</f>
        <v>#REF!</v>
      </c>
      <c r="L26" s="252" t="e">
        <f>+#REF!</f>
        <v>#REF!</v>
      </c>
      <c r="M26" s="252" t="e">
        <f>#REF!+#REF!</f>
        <v>#REF!</v>
      </c>
      <c r="N26" s="254" t="e">
        <f t="shared" si="1"/>
        <v>#REF!</v>
      </c>
      <c r="O26" s="252" t="e">
        <f t="shared" si="8"/>
        <v>#REF!</v>
      </c>
      <c r="P26" s="252" t="e">
        <f t="shared" si="9"/>
        <v>#REF!</v>
      </c>
      <c r="Q26" s="252" t="e">
        <f t="shared" si="10"/>
        <v>#REF!</v>
      </c>
      <c r="R26" s="252" t="e">
        <f t="shared" si="2"/>
        <v>#REF!</v>
      </c>
      <c r="S26" s="252" t="e">
        <f t="shared" si="11"/>
        <v>#REF!</v>
      </c>
      <c r="T26" s="255" t="e">
        <f>#REF!</f>
        <v>#REF!</v>
      </c>
      <c r="U26" s="256" t="e">
        <f t="shared" si="12"/>
        <v>#REF!</v>
      </c>
      <c r="V26" s="357">
        <f>(2493900)/12</f>
        <v>207825</v>
      </c>
      <c r="W26" s="200">
        <v>0</v>
      </c>
      <c r="X26" s="200"/>
      <c r="Y26" s="200"/>
      <c r="Z26" s="200"/>
      <c r="AA26" s="200">
        <f t="shared" si="3"/>
        <v>0</v>
      </c>
      <c r="AB26" s="201">
        <f t="shared" si="13"/>
        <v>0</v>
      </c>
      <c r="AC26" s="200">
        <v>2581920</v>
      </c>
      <c r="AD26" s="200" t="s">
        <v>1072</v>
      </c>
      <c r="AE26" s="200"/>
      <c r="AF26" s="200"/>
      <c r="AG26" s="200">
        <f t="shared" si="4"/>
        <v>2581920</v>
      </c>
      <c r="AH26" s="201">
        <f t="shared" si="14"/>
        <v>258192</v>
      </c>
      <c r="AI26" s="201">
        <f t="shared" si="15"/>
        <v>258192</v>
      </c>
      <c r="AJ26" s="205">
        <v>594774</v>
      </c>
      <c r="AK26" s="200">
        <v>0</v>
      </c>
      <c r="AL26" s="200"/>
      <c r="AM26" s="200"/>
      <c r="AN26" s="200"/>
      <c r="AO26" s="200">
        <f t="shared" si="5"/>
        <v>0</v>
      </c>
      <c r="AP26" s="202">
        <f t="shared" si="16"/>
        <v>0</v>
      </c>
      <c r="AQ26" s="200"/>
      <c r="AR26" s="200"/>
      <c r="AS26" s="200"/>
      <c r="AT26" s="200"/>
      <c r="AU26" s="200"/>
      <c r="AV26" s="203">
        <f t="shared" si="17"/>
        <v>0</v>
      </c>
      <c r="AW26" s="201">
        <f t="shared" si="6"/>
        <v>2684000</v>
      </c>
      <c r="AX26" s="204">
        <f t="shared" si="18"/>
        <v>258192</v>
      </c>
      <c r="AY26" s="200" t="e">
        <f t="shared" si="19"/>
        <v>#REF!</v>
      </c>
      <c r="AZ26" s="200" t="e">
        <f t="shared" si="20"/>
        <v>#REF!</v>
      </c>
      <c r="BA26" s="301" t="e">
        <f t="shared" si="21"/>
        <v>#REF!</v>
      </c>
      <c r="BB26" s="302">
        <f t="shared" si="7"/>
        <v>258192</v>
      </c>
      <c r="BC26" s="193"/>
      <c r="BD26" s="193"/>
    </row>
    <row r="27" spans="1:56" ht="11.25" customHeight="1" x14ac:dyDescent="0.2">
      <c r="A27" s="257" t="e">
        <f>#REF!</f>
        <v>#REF!</v>
      </c>
      <c r="B27" s="252" t="s">
        <v>1069</v>
      </c>
      <c r="C27" s="250" t="e">
        <f>#REF!</f>
        <v>#REF!</v>
      </c>
      <c r="D27" s="258" t="s">
        <v>1070</v>
      </c>
      <c r="E27" s="255" t="e">
        <f>#REF!</f>
        <v>#REF!</v>
      </c>
      <c r="F27" s="255" t="e">
        <f>#REF!</f>
        <v>#REF!</v>
      </c>
      <c r="G27" s="251" t="s">
        <v>1071</v>
      </c>
      <c r="H27" s="252" t="e">
        <f>#REF!-#REF!-#REF!-#REF!-#REF!-#REF!</f>
        <v>#REF!</v>
      </c>
      <c r="I27" s="253">
        <v>0</v>
      </c>
      <c r="J27" s="252" t="e">
        <f t="shared" si="0"/>
        <v>#REF!</v>
      </c>
      <c r="K27" s="252" t="e">
        <f>#REF!+#REF!</f>
        <v>#REF!</v>
      </c>
      <c r="L27" s="252" t="e">
        <f>+#REF!</f>
        <v>#REF!</v>
      </c>
      <c r="M27" s="252" t="e">
        <f>#REF!+#REF!</f>
        <v>#REF!</v>
      </c>
      <c r="N27" s="254" t="e">
        <f t="shared" si="1"/>
        <v>#REF!</v>
      </c>
      <c r="O27" s="252" t="e">
        <f t="shared" si="8"/>
        <v>#REF!</v>
      </c>
      <c r="P27" s="252" t="e">
        <f t="shared" si="9"/>
        <v>#REF!</v>
      </c>
      <c r="Q27" s="252" t="e">
        <f t="shared" si="10"/>
        <v>#REF!</v>
      </c>
      <c r="R27" s="252" t="e">
        <f t="shared" si="2"/>
        <v>#REF!</v>
      </c>
      <c r="S27" s="252" t="e">
        <f t="shared" si="11"/>
        <v>#REF!</v>
      </c>
      <c r="T27" s="255">
        <v>30</v>
      </c>
      <c r="U27" s="256" t="e">
        <f t="shared" si="12"/>
        <v>#REF!</v>
      </c>
      <c r="V27" s="357">
        <f>(2029600)/12</f>
        <v>169133.33333333334</v>
      </c>
      <c r="W27" s="200">
        <v>7535856</v>
      </c>
      <c r="X27" s="200" t="s">
        <v>1072</v>
      </c>
      <c r="Y27" s="200"/>
      <c r="Z27" s="200"/>
      <c r="AA27" s="200">
        <f>+W27+Y27</f>
        <v>7535856</v>
      </c>
      <c r="AB27" s="201">
        <f t="shared" si="13"/>
        <v>627988</v>
      </c>
      <c r="AC27" s="200"/>
      <c r="AD27" s="200"/>
      <c r="AE27" s="200"/>
      <c r="AF27" s="200"/>
      <c r="AG27" s="200">
        <f>+AC27+AE27</f>
        <v>0</v>
      </c>
      <c r="AH27" s="201">
        <f t="shared" si="14"/>
        <v>0</v>
      </c>
      <c r="AI27" s="201"/>
      <c r="AJ27" s="205"/>
      <c r="AK27" s="200">
        <v>0</v>
      </c>
      <c r="AL27" s="200"/>
      <c r="AM27" s="200"/>
      <c r="AN27" s="200"/>
      <c r="AO27" s="200">
        <f t="shared" si="5"/>
        <v>0</v>
      </c>
      <c r="AP27" s="202">
        <f t="shared" si="16"/>
        <v>0</v>
      </c>
      <c r="AQ27" s="200"/>
      <c r="AR27" s="200"/>
      <c r="AS27" s="200"/>
      <c r="AT27" s="200"/>
      <c r="AU27" s="200"/>
      <c r="AV27" s="203">
        <f t="shared" si="17"/>
        <v>0</v>
      </c>
      <c r="AW27" s="201">
        <f t="shared" si="6"/>
        <v>2684000</v>
      </c>
      <c r="AX27" s="204">
        <f t="shared" si="18"/>
        <v>0</v>
      </c>
      <c r="AY27" s="200" t="e">
        <f t="shared" si="19"/>
        <v>#REF!</v>
      </c>
      <c r="AZ27" s="200" t="e">
        <f t="shared" si="20"/>
        <v>#REF!</v>
      </c>
      <c r="BA27" s="301" t="e">
        <f t="shared" si="21"/>
        <v>#REF!</v>
      </c>
      <c r="BB27" s="302">
        <f t="shared" si="7"/>
        <v>0</v>
      </c>
      <c r="BC27" s="193"/>
      <c r="BD27" s="193"/>
    </row>
    <row r="28" spans="1:56" ht="11.25" customHeight="1" x14ac:dyDescent="0.2">
      <c r="A28" s="257" t="e">
        <f>#REF!</f>
        <v>#REF!</v>
      </c>
      <c r="B28" s="252" t="s">
        <v>1069</v>
      </c>
      <c r="C28" s="250" t="e">
        <f>#REF!</f>
        <v>#REF!</v>
      </c>
      <c r="D28" s="258" t="s">
        <v>1081</v>
      </c>
      <c r="E28" s="255" t="e">
        <f>#REF!</f>
        <v>#REF!</v>
      </c>
      <c r="F28" s="255" t="e">
        <f>#REF!</f>
        <v>#REF!</v>
      </c>
      <c r="G28" s="251" t="s">
        <v>1076</v>
      </c>
      <c r="H28" s="252" t="e">
        <f>#REF!-#REF!-#REF!-#REF!-#REF!-#REF!</f>
        <v>#REF!</v>
      </c>
      <c r="I28" s="253">
        <v>0</v>
      </c>
      <c r="J28" s="252" t="e">
        <f t="shared" si="0"/>
        <v>#REF!</v>
      </c>
      <c r="K28" s="252" t="e">
        <f>#REF!+#REF!</f>
        <v>#REF!</v>
      </c>
      <c r="L28" s="252" t="e">
        <f>+#REF!</f>
        <v>#REF!</v>
      </c>
      <c r="M28" s="252" t="e">
        <f>#REF!+#REF!</f>
        <v>#REF!</v>
      </c>
      <c r="N28" s="254" t="e">
        <f t="shared" si="1"/>
        <v>#REF!</v>
      </c>
      <c r="O28" s="252" t="e">
        <f t="shared" si="8"/>
        <v>#REF!</v>
      </c>
      <c r="P28" s="252" t="e">
        <f t="shared" si="9"/>
        <v>#REF!</v>
      </c>
      <c r="Q28" s="252" t="e">
        <f t="shared" si="10"/>
        <v>#REF!</v>
      </c>
      <c r="R28" s="252" t="e">
        <f t="shared" si="2"/>
        <v>#REF!</v>
      </c>
      <c r="S28" s="252" t="e">
        <f t="shared" si="11"/>
        <v>#REF!</v>
      </c>
      <c r="T28" s="255" t="e">
        <f>#REF!</f>
        <v>#REF!</v>
      </c>
      <c r="U28" s="256" t="e">
        <f t="shared" si="12"/>
        <v>#REF!</v>
      </c>
      <c r="V28" s="357" t="e">
        <f>#REF!</f>
        <v>#REF!</v>
      </c>
      <c r="W28" s="200">
        <v>0</v>
      </c>
      <c r="X28" s="200"/>
      <c r="Y28" s="200"/>
      <c r="Z28" s="200"/>
      <c r="AA28" s="200">
        <f t="shared" si="3"/>
        <v>0</v>
      </c>
      <c r="AB28" s="201">
        <f t="shared" si="13"/>
        <v>0</v>
      </c>
      <c r="AC28" s="200">
        <v>0</v>
      </c>
      <c r="AD28" s="200"/>
      <c r="AE28" s="200"/>
      <c r="AF28" s="200"/>
      <c r="AG28" s="200">
        <f t="shared" si="4"/>
        <v>0</v>
      </c>
      <c r="AH28" s="201">
        <f t="shared" si="14"/>
        <v>0</v>
      </c>
      <c r="AI28" s="201">
        <f t="shared" si="15"/>
        <v>0</v>
      </c>
      <c r="AJ28" s="205">
        <v>0</v>
      </c>
      <c r="AK28" s="200">
        <v>0</v>
      </c>
      <c r="AL28" s="200"/>
      <c r="AM28" s="200"/>
      <c r="AN28" s="200"/>
      <c r="AO28" s="200">
        <f t="shared" si="5"/>
        <v>0</v>
      </c>
      <c r="AP28" s="202">
        <f t="shared" si="16"/>
        <v>0</v>
      </c>
      <c r="AQ28" s="200"/>
      <c r="AR28" s="200"/>
      <c r="AS28" s="200"/>
      <c r="AT28" s="200"/>
      <c r="AU28" s="200"/>
      <c r="AV28" s="203">
        <f t="shared" si="17"/>
        <v>0</v>
      </c>
      <c r="AW28" s="201">
        <f t="shared" si="6"/>
        <v>2684000</v>
      </c>
      <c r="AX28" s="204">
        <f t="shared" si="18"/>
        <v>0</v>
      </c>
      <c r="AY28" s="200" t="e">
        <f t="shared" si="19"/>
        <v>#REF!</v>
      </c>
      <c r="AZ28" s="200" t="e">
        <f t="shared" si="20"/>
        <v>#REF!</v>
      </c>
      <c r="BA28" s="301" t="e">
        <f t="shared" si="21"/>
        <v>#REF!</v>
      </c>
      <c r="BB28" s="302">
        <f t="shared" si="7"/>
        <v>0</v>
      </c>
      <c r="BC28" s="193"/>
      <c r="BD28" s="193"/>
    </row>
    <row r="29" spans="1:56" ht="11.25" customHeight="1" x14ac:dyDescent="0.2">
      <c r="A29" s="257" t="e">
        <f>#REF!</f>
        <v>#REF!</v>
      </c>
      <c r="B29" s="252" t="s">
        <v>1069</v>
      </c>
      <c r="C29" s="250" t="e">
        <f>#REF!</f>
        <v>#REF!</v>
      </c>
      <c r="D29" s="258" t="s">
        <v>904</v>
      </c>
      <c r="E29" s="255" t="e">
        <f>#REF!</f>
        <v>#REF!</v>
      </c>
      <c r="F29" s="255" t="e">
        <f>#REF!</f>
        <v>#REF!</v>
      </c>
      <c r="G29" s="251" t="s">
        <v>1076</v>
      </c>
      <c r="H29" s="252" t="e">
        <f>#REF!-#REF!-#REF!-#REF!-#REF!-#REF!</f>
        <v>#REF!</v>
      </c>
      <c r="I29" s="253">
        <v>0</v>
      </c>
      <c r="J29" s="252" t="e">
        <f t="shared" si="0"/>
        <v>#REF!</v>
      </c>
      <c r="K29" s="252" t="e">
        <f>#REF!+#REF!</f>
        <v>#REF!</v>
      </c>
      <c r="L29" s="252" t="e">
        <f>+#REF!</f>
        <v>#REF!</v>
      </c>
      <c r="M29" s="252" t="e">
        <f>#REF!+#REF!</f>
        <v>#REF!</v>
      </c>
      <c r="N29" s="254" t="e">
        <f t="shared" si="1"/>
        <v>#REF!</v>
      </c>
      <c r="O29" s="252" t="e">
        <f t="shared" si="8"/>
        <v>#REF!</v>
      </c>
      <c r="P29" s="252" t="e">
        <f t="shared" si="9"/>
        <v>#REF!</v>
      </c>
      <c r="Q29" s="252" t="e">
        <f t="shared" si="10"/>
        <v>#REF!</v>
      </c>
      <c r="R29" s="252" t="e">
        <f t="shared" si="2"/>
        <v>#REF!</v>
      </c>
      <c r="S29" s="252" t="e">
        <f t="shared" si="11"/>
        <v>#REF!</v>
      </c>
      <c r="T29" s="255" t="e">
        <f>#REF!</f>
        <v>#REF!</v>
      </c>
      <c r="U29" s="256" t="e">
        <f t="shared" si="12"/>
        <v>#REF!</v>
      </c>
      <c r="V29" s="357" t="e">
        <f>#REF!</f>
        <v>#REF!</v>
      </c>
      <c r="W29" s="200">
        <v>0</v>
      </c>
      <c r="X29" s="200"/>
      <c r="Y29" s="200"/>
      <c r="Z29" s="200"/>
      <c r="AA29" s="200">
        <f>+W29+Y29</f>
        <v>0</v>
      </c>
      <c r="AB29" s="201">
        <f t="shared" si="13"/>
        <v>0</v>
      </c>
      <c r="AC29" s="200">
        <v>0</v>
      </c>
      <c r="AD29" s="200"/>
      <c r="AE29" s="200"/>
      <c r="AF29" s="200"/>
      <c r="AG29" s="200">
        <f>+AC29+AE29</f>
        <v>0</v>
      </c>
      <c r="AH29" s="201">
        <f t="shared" si="14"/>
        <v>0</v>
      </c>
      <c r="AI29" s="201">
        <f t="shared" si="15"/>
        <v>0</v>
      </c>
      <c r="AJ29" s="205">
        <v>0</v>
      </c>
      <c r="AK29" s="200">
        <v>0</v>
      </c>
      <c r="AL29" s="200"/>
      <c r="AM29" s="200"/>
      <c r="AN29" s="200"/>
      <c r="AO29" s="200">
        <f>+AK29+AM29</f>
        <v>0</v>
      </c>
      <c r="AP29" s="202">
        <f t="shared" si="16"/>
        <v>0</v>
      </c>
      <c r="AQ29" s="200"/>
      <c r="AR29" s="200"/>
      <c r="AS29" s="200"/>
      <c r="AT29" s="200"/>
      <c r="AU29" s="200"/>
      <c r="AV29" s="203">
        <f>AP29+AU29</f>
        <v>0</v>
      </c>
      <c r="AW29" s="201">
        <f t="shared" si="6"/>
        <v>2684000</v>
      </c>
      <c r="AX29" s="204">
        <f t="shared" si="18"/>
        <v>0</v>
      </c>
      <c r="AY29" s="200" t="e">
        <f>ROUND((U29*30%),0)</f>
        <v>#REF!</v>
      </c>
      <c r="AZ29" s="200" t="e">
        <f>IF(BA29&lt;115607000,(U29-AJ29-AV29),(U29-AV29))-V29</f>
        <v>#REF!</v>
      </c>
      <c r="BA29" s="301" t="e">
        <f>S29</f>
        <v>#REF!</v>
      </c>
      <c r="BB29" s="302">
        <f>IF((AI29&gt;AJ29),(AJ29+AV29),(AI29+AV29))</f>
        <v>0</v>
      </c>
      <c r="BC29" s="193"/>
      <c r="BD29" s="193"/>
    </row>
    <row r="30" spans="1:56" ht="11.25" customHeight="1" x14ac:dyDescent="0.2">
      <c r="A30" s="257" t="e">
        <f>#REF!</f>
        <v>#REF!</v>
      </c>
      <c r="B30" s="252" t="s">
        <v>1069</v>
      </c>
      <c r="C30" s="250" t="e">
        <f>#REF!</f>
        <v>#REF!</v>
      </c>
      <c r="D30" s="258" t="s">
        <v>1082</v>
      </c>
      <c r="E30" s="255" t="e">
        <f>#REF!</f>
        <v>#REF!</v>
      </c>
      <c r="F30" s="255" t="e">
        <f>#REF!</f>
        <v>#REF!</v>
      </c>
      <c r="G30" s="251" t="s">
        <v>1071</v>
      </c>
      <c r="H30" s="252" t="e">
        <f>#REF!-#REF!-#REF!-#REF!-#REF!-#REF!</f>
        <v>#REF!</v>
      </c>
      <c r="I30" s="253">
        <v>0</v>
      </c>
      <c r="J30" s="252" t="e">
        <f t="shared" si="0"/>
        <v>#REF!</v>
      </c>
      <c r="K30" s="252" t="e">
        <f>#REF!+#REF!</f>
        <v>#REF!</v>
      </c>
      <c r="L30" s="252" t="e">
        <f>+#REF!</f>
        <v>#REF!</v>
      </c>
      <c r="M30" s="252" t="e">
        <f>#REF!+#REF!</f>
        <v>#REF!</v>
      </c>
      <c r="N30" s="254" t="e">
        <f t="shared" si="1"/>
        <v>#REF!</v>
      </c>
      <c r="O30" s="252" t="e">
        <f t="shared" si="8"/>
        <v>#REF!</v>
      </c>
      <c r="P30" s="252" t="e">
        <f t="shared" si="9"/>
        <v>#REF!</v>
      </c>
      <c r="Q30" s="252" t="e">
        <f t="shared" si="10"/>
        <v>#REF!</v>
      </c>
      <c r="R30" s="252" t="e">
        <f t="shared" si="2"/>
        <v>#REF!</v>
      </c>
      <c r="S30" s="252" t="e">
        <f t="shared" si="11"/>
        <v>#REF!</v>
      </c>
      <c r="T30" s="255" t="e">
        <f>#REF!</f>
        <v>#REF!</v>
      </c>
      <c r="U30" s="256" t="e">
        <f t="shared" si="12"/>
        <v>#REF!</v>
      </c>
      <c r="V30" s="357">
        <f>(993000)/12</f>
        <v>82750</v>
      </c>
      <c r="W30" s="200">
        <v>0</v>
      </c>
      <c r="X30" s="200"/>
      <c r="Y30" s="200"/>
      <c r="Z30" s="200"/>
      <c r="AA30" s="200">
        <f t="shared" si="3"/>
        <v>0</v>
      </c>
      <c r="AB30" s="201">
        <f t="shared" si="13"/>
        <v>0</v>
      </c>
      <c r="AC30" s="200">
        <v>0</v>
      </c>
      <c r="AD30" s="200"/>
      <c r="AE30" s="200"/>
      <c r="AF30" s="200"/>
      <c r="AG30" s="200">
        <f t="shared" si="4"/>
        <v>0</v>
      </c>
      <c r="AH30" s="201">
        <f t="shared" si="14"/>
        <v>0</v>
      </c>
      <c r="AI30" s="201">
        <f t="shared" si="15"/>
        <v>0</v>
      </c>
      <c r="AJ30" s="205">
        <v>0</v>
      </c>
      <c r="AK30" s="200">
        <v>0</v>
      </c>
      <c r="AL30" s="200"/>
      <c r="AM30" s="200"/>
      <c r="AN30" s="200"/>
      <c r="AO30" s="200">
        <f t="shared" si="5"/>
        <v>0</v>
      </c>
      <c r="AP30" s="202">
        <f t="shared" si="16"/>
        <v>0</v>
      </c>
      <c r="AQ30" s="200"/>
      <c r="AR30" s="200"/>
      <c r="AS30" s="200"/>
      <c r="AT30" s="200"/>
      <c r="AU30" s="200"/>
      <c r="AV30" s="203">
        <f t="shared" si="17"/>
        <v>0</v>
      </c>
      <c r="AW30" s="201">
        <f t="shared" si="6"/>
        <v>2684000</v>
      </c>
      <c r="AX30" s="204">
        <f t="shared" si="18"/>
        <v>0</v>
      </c>
      <c r="AY30" s="200" t="e">
        <f t="shared" si="19"/>
        <v>#REF!</v>
      </c>
      <c r="AZ30" s="200" t="e">
        <f t="shared" si="20"/>
        <v>#REF!</v>
      </c>
      <c r="BA30" s="301" t="e">
        <f t="shared" si="21"/>
        <v>#REF!</v>
      </c>
      <c r="BB30" s="302">
        <f t="shared" si="7"/>
        <v>0</v>
      </c>
      <c r="BC30" s="193"/>
      <c r="BD30" s="193"/>
    </row>
    <row r="31" spans="1:56" ht="10.5" x14ac:dyDescent="0.2">
      <c r="A31" s="257" t="e">
        <f>#REF!</f>
        <v>#REF!</v>
      </c>
      <c r="B31" s="252" t="s">
        <v>1069</v>
      </c>
      <c r="C31" s="250" t="e">
        <f>#REF!</f>
        <v>#REF!</v>
      </c>
      <c r="D31" s="258" t="s">
        <v>904</v>
      </c>
      <c r="E31" s="255" t="e">
        <f>#REF!</f>
        <v>#REF!</v>
      </c>
      <c r="F31" s="255" t="e">
        <f>#REF!</f>
        <v>#REF!</v>
      </c>
      <c r="G31" s="251" t="s">
        <v>1076</v>
      </c>
      <c r="H31" s="252" t="e">
        <f>#REF!-#REF!-#REF!-#REF!-#REF!-#REF!</f>
        <v>#REF!</v>
      </c>
      <c r="I31" s="253">
        <v>0</v>
      </c>
      <c r="J31" s="252" t="e">
        <f t="shared" si="0"/>
        <v>#REF!</v>
      </c>
      <c r="K31" s="252" t="e">
        <f>#REF!+#REF!</f>
        <v>#REF!</v>
      </c>
      <c r="L31" s="252" t="e">
        <f>+#REF!</f>
        <v>#REF!</v>
      </c>
      <c r="M31" s="252" t="e">
        <f>#REF!+#REF!</f>
        <v>#REF!</v>
      </c>
      <c r="N31" s="254" t="e">
        <f t="shared" si="1"/>
        <v>#REF!</v>
      </c>
      <c r="O31" s="252" t="e">
        <f t="shared" si="8"/>
        <v>#REF!</v>
      </c>
      <c r="P31" s="252" t="e">
        <f t="shared" si="9"/>
        <v>#REF!</v>
      </c>
      <c r="Q31" s="252" t="e">
        <f t="shared" si="10"/>
        <v>#REF!</v>
      </c>
      <c r="R31" s="252" t="e">
        <f t="shared" si="2"/>
        <v>#REF!</v>
      </c>
      <c r="S31" s="252" t="e">
        <f t="shared" si="11"/>
        <v>#REF!</v>
      </c>
      <c r="T31" s="255" t="e">
        <f>#REF!</f>
        <v>#REF!</v>
      </c>
      <c r="U31" s="256" t="e">
        <f t="shared" si="12"/>
        <v>#REF!</v>
      </c>
      <c r="V31" s="357" t="e">
        <f>#REF!</f>
        <v>#REF!</v>
      </c>
      <c r="W31" s="200">
        <v>3555552</v>
      </c>
      <c r="X31" s="200" t="s">
        <v>1072</v>
      </c>
      <c r="Y31" s="200"/>
      <c r="Z31" s="200"/>
      <c r="AA31" s="200">
        <f t="shared" si="3"/>
        <v>3555552</v>
      </c>
      <c r="AB31" s="201">
        <f t="shared" si="13"/>
        <v>296296</v>
      </c>
      <c r="AC31" s="200">
        <v>0</v>
      </c>
      <c r="AD31" s="200"/>
      <c r="AE31" s="200"/>
      <c r="AF31" s="200"/>
      <c r="AG31" s="200">
        <f t="shared" si="4"/>
        <v>0</v>
      </c>
      <c r="AH31" s="201">
        <f t="shared" si="14"/>
        <v>0</v>
      </c>
      <c r="AI31" s="201">
        <f t="shared" si="15"/>
        <v>296296</v>
      </c>
      <c r="AJ31" s="205">
        <v>296296</v>
      </c>
      <c r="AK31" s="200">
        <v>0</v>
      </c>
      <c r="AL31" s="200"/>
      <c r="AM31" s="200"/>
      <c r="AN31" s="200"/>
      <c r="AO31" s="200">
        <f t="shared" si="5"/>
        <v>0</v>
      </c>
      <c r="AP31" s="202">
        <f t="shared" si="16"/>
        <v>0</v>
      </c>
      <c r="AQ31" s="200"/>
      <c r="AR31" s="200"/>
      <c r="AS31" s="200"/>
      <c r="AT31" s="200"/>
      <c r="AU31" s="200"/>
      <c r="AV31" s="203">
        <f t="shared" si="17"/>
        <v>0</v>
      </c>
      <c r="AW31" s="201">
        <f t="shared" si="6"/>
        <v>2684000</v>
      </c>
      <c r="AX31" s="204">
        <f t="shared" si="18"/>
        <v>296296</v>
      </c>
      <c r="AY31" s="200" t="e">
        <f t="shared" si="19"/>
        <v>#REF!</v>
      </c>
      <c r="AZ31" s="200" t="e">
        <f t="shared" si="20"/>
        <v>#REF!</v>
      </c>
      <c r="BA31" s="301" t="e">
        <f t="shared" si="21"/>
        <v>#REF!</v>
      </c>
      <c r="BB31" s="302">
        <f t="shared" si="7"/>
        <v>296296</v>
      </c>
      <c r="BC31" s="193"/>
      <c r="BD31" s="193"/>
    </row>
    <row r="32" spans="1:56" ht="10.5" x14ac:dyDescent="0.2">
      <c r="A32" s="257" t="e">
        <f>#REF!</f>
        <v>#REF!</v>
      </c>
      <c r="B32" s="252" t="s">
        <v>1069</v>
      </c>
      <c r="C32" s="250" t="e">
        <f>#REF!</f>
        <v>#REF!</v>
      </c>
      <c r="D32" s="258" t="s">
        <v>1075</v>
      </c>
      <c r="E32" s="255" t="e">
        <f>#REF!</f>
        <v>#REF!</v>
      </c>
      <c r="F32" s="255" t="e">
        <f>#REF!</f>
        <v>#REF!</v>
      </c>
      <c r="G32" s="251" t="s">
        <v>1076</v>
      </c>
      <c r="H32" s="252" t="e">
        <f>#REF!-#REF!-#REF!-#REF!-#REF!-#REF!</f>
        <v>#REF!</v>
      </c>
      <c r="I32" s="253">
        <v>0</v>
      </c>
      <c r="J32" s="252" t="e">
        <f t="shared" si="0"/>
        <v>#REF!</v>
      </c>
      <c r="K32" s="252" t="e">
        <f>#REF!+#REF!</f>
        <v>#REF!</v>
      </c>
      <c r="L32" s="252" t="e">
        <f>+#REF!</f>
        <v>#REF!</v>
      </c>
      <c r="M32" s="252" t="e">
        <f>#REF!+#REF!</f>
        <v>#REF!</v>
      </c>
      <c r="N32" s="254" t="e">
        <f t="shared" si="1"/>
        <v>#REF!</v>
      </c>
      <c r="O32" s="252" t="e">
        <f t="shared" si="8"/>
        <v>#REF!</v>
      </c>
      <c r="P32" s="252" t="e">
        <f t="shared" si="9"/>
        <v>#REF!</v>
      </c>
      <c r="Q32" s="252" t="e">
        <f t="shared" si="10"/>
        <v>#REF!</v>
      </c>
      <c r="R32" s="252" t="e">
        <f t="shared" si="2"/>
        <v>#REF!</v>
      </c>
      <c r="S32" s="252" t="e">
        <f t="shared" si="11"/>
        <v>#REF!</v>
      </c>
      <c r="T32" s="255">
        <v>30</v>
      </c>
      <c r="U32" s="256" t="e">
        <f t="shared" si="12"/>
        <v>#REF!</v>
      </c>
      <c r="V32" s="357" t="e">
        <f>#REF!</f>
        <v>#REF!</v>
      </c>
      <c r="W32" s="200"/>
      <c r="X32" s="200"/>
      <c r="Y32" s="200"/>
      <c r="Z32" s="200"/>
      <c r="AA32" s="200">
        <f>+W32+Y32</f>
        <v>0</v>
      </c>
      <c r="AB32" s="201">
        <f t="shared" si="13"/>
        <v>0</v>
      </c>
      <c r="AC32" s="200">
        <v>0</v>
      </c>
      <c r="AD32" s="200"/>
      <c r="AE32" s="200"/>
      <c r="AF32" s="200"/>
      <c r="AG32" s="200">
        <f t="shared" si="4"/>
        <v>0</v>
      </c>
      <c r="AH32" s="201">
        <f t="shared" si="14"/>
        <v>0</v>
      </c>
      <c r="AI32" s="201">
        <f t="shared" si="15"/>
        <v>0</v>
      </c>
      <c r="AJ32" s="205"/>
      <c r="AK32" s="200">
        <v>0</v>
      </c>
      <c r="AL32" s="200"/>
      <c r="AM32" s="200"/>
      <c r="AN32" s="200"/>
      <c r="AO32" s="200">
        <f>+AK32+AM32</f>
        <v>0</v>
      </c>
      <c r="AP32" s="202">
        <f t="shared" si="16"/>
        <v>0</v>
      </c>
      <c r="AQ32" s="200"/>
      <c r="AR32" s="200"/>
      <c r="AS32" s="200"/>
      <c r="AT32" s="200"/>
      <c r="AU32" s="200"/>
      <c r="AV32" s="203">
        <f t="shared" si="17"/>
        <v>0</v>
      </c>
      <c r="AW32" s="201">
        <f t="shared" si="6"/>
        <v>2684000</v>
      </c>
      <c r="AX32" s="204">
        <f t="shared" si="18"/>
        <v>0</v>
      </c>
      <c r="AY32" s="200" t="e">
        <f t="shared" si="19"/>
        <v>#REF!</v>
      </c>
      <c r="AZ32" s="200" t="e">
        <f t="shared" si="20"/>
        <v>#REF!</v>
      </c>
      <c r="BA32" s="301" t="e">
        <f t="shared" si="21"/>
        <v>#REF!</v>
      </c>
      <c r="BB32" s="302">
        <f t="shared" si="7"/>
        <v>0</v>
      </c>
      <c r="BC32" s="193"/>
      <c r="BD32" s="193"/>
    </row>
    <row r="33" spans="1:59" ht="10.5" x14ac:dyDescent="0.2">
      <c r="A33" s="257" t="e">
        <f>#REF!</f>
        <v>#REF!</v>
      </c>
      <c r="B33" s="252" t="s">
        <v>1069</v>
      </c>
      <c r="C33" s="250" t="e">
        <f>#REF!</f>
        <v>#REF!</v>
      </c>
      <c r="D33" s="250" t="s">
        <v>1077</v>
      </c>
      <c r="E33" s="255" t="e">
        <f>#REF!</f>
        <v>#REF!</v>
      </c>
      <c r="F33" s="255" t="e">
        <f>#REF!</f>
        <v>#REF!</v>
      </c>
      <c r="G33" s="251" t="s">
        <v>1076</v>
      </c>
      <c r="H33" s="252" t="e">
        <f>#REF!-#REF!-#REF!-#REF!-#REF!-#REF!</f>
        <v>#REF!</v>
      </c>
      <c r="I33" s="253">
        <v>0</v>
      </c>
      <c r="J33" s="252" t="e">
        <f t="shared" si="0"/>
        <v>#REF!</v>
      </c>
      <c r="K33" s="252" t="e">
        <f>#REF!+#REF!</f>
        <v>#REF!</v>
      </c>
      <c r="L33" s="252" t="e">
        <f>+#REF!</f>
        <v>#REF!</v>
      </c>
      <c r="M33" s="252" t="e">
        <f>#REF!+#REF!</f>
        <v>#REF!</v>
      </c>
      <c r="N33" s="254" t="e">
        <f t="shared" si="1"/>
        <v>#REF!</v>
      </c>
      <c r="O33" s="252" t="e">
        <f t="shared" si="8"/>
        <v>#REF!</v>
      </c>
      <c r="P33" s="252" t="e">
        <f t="shared" si="9"/>
        <v>#REF!</v>
      </c>
      <c r="Q33" s="252" t="e">
        <f t="shared" si="10"/>
        <v>#REF!</v>
      </c>
      <c r="R33" s="252" t="e">
        <f t="shared" si="2"/>
        <v>#REF!</v>
      </c>
      <c r="S33" s="252" t="e">
        <f t="shared" si="11"/>
        <v>#REF!</v>
      </c>
      <c r="T33" s="255" t="e">
        <f>#REF!</f>
        <v>#REF!</v>
      </c>
      <c r="U33" s="256" t="e">
        <f t="shared" si="12"/>
        <v>#REF!</v>
      </c>
      <c r="V33" s="357" t="e">
        <f>#REF!</f>
        <v>#REF!</v>
      </c>
      <c r="W33" s="200">
        <v>26606000</v>
      </c>
      <c r="X33" s="200" t="s">
        <v>1072</v>
      </c>
      <c r="Y33" s="200"/>
      <c r="Z33" s="200"/>
      <c r="AA33" s="200">
        <f>+W33+Y33</f>
        <v>26606000</v>
      </c>
      <c r="AB33" s="201">
        <f t="shared" si="13"/>
        <v>2217166.6666666665</v>
      </c>
      <c r="AC33" s="200">
        <v>0</v>
      </c>
      <c r="AD33" s="200"/>
      <c r="AE33" s="200"/>
      <c r="AF33" s="200"/>
      <c r="AG33" s="200">
        <f>+AC33+AE33</f>
        <v>0</v>
      </c>
      <c r="AH33" s="201">
        <f t="shared" si="14"/>
        <v>0</v>
      </c>
      <c r="AI33" s="201">
        <f t="shared" si="15"/>
        <v>2217166.6666666665</v>
      </c>
      <c r="AJ33" s="205">
        <v>586233</v>
      </c>
      <c r="AK33" s="200">
        <v>0</v>
      </c>
      <c r="AL33" s="200"/>
      <c r="AM33" s="200"/>
      <c r="AN33" s="200"/>
      <c r="AO33" s="200">
        <f>+AK33+AM33</f>
        <v>0</v>
      </c>
      <c r="AP33" s="202">
        <f t="shared" si="16"/>
        <v>0</v>
      </c>
      <c r="AQ33" s="200"/>
      <c r="AR33" s="200"/>
      <c r="AS33" s="200"/>
      <c r="AT33" s="200"/>
      <c r="AU33" s="200"/>
      <c r="AV33" s="203">
        <f>AP33+AU33</f>
        <v>0</v>
      </c>
      <c r="AW33" s="201">
        <f t="shared" si="6"/>
        <v>2684000</v>
      </c>
      <c r="AX33" s="204">
        <f t="shared" si="18"/>
        <v>586233</v>
      </c>
      <c r="AY33" s="200" t="e">
        <f>ROUND((U33*30%),0)</f>
        <v>#REF!</v>
      </c>
      <c r="AZ33" s="200" t="e">
        <f>IF(BA33&lt;115607000,(U33-AJ33-AV33),(U33-AV33))-V33</f>
        <v>#REF!</v>
      </c>
      <c r="BA33" s="301" t="e">
        <f>S33</f>
        <v>#REF!</v>
      </c>
      <c r="BB33" s="302">
        <f t="shared" si="7"/>
        <v>586233</v>
      </c>
      <c r="BC33" s="193"/>
      <c r="BD33" s="193"/>
    </row>
    <row r="34" spans="1:59" ht="10.5" x14ac:dyDescent="0.2">
      <c r="A34" s="259"/>
      <c r="B34" s="260"/>
      <c r="C34" s="261"/>
      <c r="D34" s="275"/>
      <c r="E34" s="262"/>
      <c r="F34" s="262"/>
      <c r="G34" s="262"/>
      <c r="H34" s="263"/>
      <c r="I34" s="264"/>
      <c r="J34" s="263"/>
      <c r="K34" s="263"/>
      <c r="L34" s="263"/>
      <c r="M34" s="263"/>
      <c r="N34" s="263"/>
      <c r="O34" s="263"/>
      <c r="P34" s="263"/>
      <c r="Q34" s="263"/>
      <c r="R34" s="263"/>
      <c r="S34" s="263"/>
      <c r="T34" s="265"/>
      <c r="U34" s="266"/>
      <c r="V34" s="263"/>
      <c r="W34" s="206"/>
      <c r="X34" s="206"/>
      <c r="Y34" s="206"/>
      <c r="Z34" s="206"/>
      <c r="AA34" s="206"/>
      <c r="AB34" s="331"/>
      <c r="AC34" s="206"/>
      <c r="AD34" s="206"/>
      <c r="AE34" s="206"/>
      <c r="AF34" s="206"/>
      <c r="AG34" s="206"/>
      <c r="AH34" s="331"/>
      <c r="AI34" s="331"/>
      <c r="AJ34" s="331"/>
      <c r="AK34" s="206"/>
      <c r="AL34" s="206"/>
      <c r="AM34" s="206"/>
      <c r="AN34" s="206"/>
      <c r="AO34" s="206"/>
      <c r="AP34" s="332"/>
      <c r="AQ34" s="206"/>
      <c r="AR34" s="206"/>
      <c r="AS34" s="206"/>
      <c r="AT34" s="206"/>
      <c r="AU34" s="206"/>
      <c r="AV34" s="331"/>
      <c r="AW34" s="331"/>
      <c r="AX34" s="206"/>
      <c r="AY34" s="206"/>
      <c r="AZ34" s="206"/>
      <c r="BA34" s="206"/>
      <c r="BB34" s="292"/>
      <c r="BC34" s="193"/>
      <c r="BD34" s="193"/>
    </row>
    <row r="35" spans="1:59" ht="10.5" x14ac:dyDescent="0.2">
      <c r="A35" s="259"/>
      <c r="B35" s="260"/>
      <c r="C35" s="261"/>
      <c r="D35" s="275"/>
      <c r="E35" s="262"/>
      <c r="F35" s="262"/>
      <c r="G35" s="262"/>
      <c r="H35" s="263"/>
      <c r="I35" s="264"/>
      <c r="J35" s="263"/>
      <c r="K35" s="263"/>
      <c r="L35" s="263"/>
      <c r="M35" s="263"/>
      <c r="N35" s="263"/>
      <c r="O35" s="263"/>
      <c r="P35" s="263"/>
      <c r="Q35" s="263"/>
      <c r="R35" s="263"/>
      <c r="S35" s="263"/>
      <c r="T35" s="265"/>
      <c r="U35" s="266"/>
      <c r="V35" s="263"/>
      <c r="W35" s="206"/>
      <c r="X35" s="206"/>
      <c r="Y35" s="206"/>
      <c r="Z35" s="206"/>
      <c r="AA35" s="206"/>
      <c r="AB35" s="331"/>
      <c r="AC35" s="206"/>
      <c r="AD35" s="206"/>
      <c r="AE35" s="206"/>
      <c r="AF35" s="206"/>
      <c r="AG35" s="206"/>
      <c r="AH35" s="331"/>
      <c r="AI35" s="331"/>
      <c r="AJ35" s="331"/>
      <c r="AK35" s="206"/>
      <c r="AL35" s="206"/>
      <c r="AM35" s="206"/>
      <c r="AN35" s="206"/>
      <c r="AO35" s="206"/>
      <c r="AP35" s="332"/>
      <c r="AQ35" s="206"/>
      <c r="AR35" s="206"/>
      <c r="AS35" s="206"/>
      <c r="AT35" s="206"/>
      <c r="AU35" s="206"/>
      <c r="AV35" s="331"/>
      <c r="AW35" s="331"/>
      <c r="AX35" s="206"/>
      <c r="AY35" s="206"/>
      <c r="AZ35" s="206"/>
      <c r="BA35" s="206"/>
      <c r="BB35" s="292"/>
      <c r="BC35" s="193"/>
      <c r="BD35" s="193"/>
    </row>
    <row r="36" spans="1:59" ht="11.25" customHeight="1" x14ac:dyDescent="0.2">
      <c r="A36" s="267"/>
      <c r="B36" s="268"/>
      <c r="C36" s="269"/>
      <c r="D36" s="270"/>
      <c r="E36" s="269"/>
      <c r="F36" s="271"/>
      <c r="G36" s="271"/>
      <c r="H36" s="271"/>
      <c r="I36" s="272"/>
      <c r="J36" s="272"/>
      <c r="K36" s="272"/>
      <c r="L36" s="272"/>
      <c r="M36" s="272"/>
      <c r="N36" s="272"/>
      <c r="O36" s="272"/>
      <c r="P36" s="272">
        <f>ROUND(K36*30%,0)</f>
        <v>0</v>
      </c>
      <c r="Q36" s="272" t="e">
        <f>SUM(R4:R31)</f>
        <v>#REF!</v>
      </c>
      <c r="R36" s="272"/>
      <c r="S36" s="272"/>
      <c r="T36" s="273"/>
      <c r="U36" s="207"/>
      <c r="V36" s="207"/>
      <c r="W36" s="207"/>
      <c r="X36" s="207"/>
      <c r="Y36" s="207"/>
      <c r="Z36" s="207"/>
      <c r="AA36" s="207"/>
      <c r="AB36" s="207"/>
      <c r="AC36" s="207"/>
      <c r="AD36" s="207"/>
      <c r="AE36" s="207"/>
      <c r="AF36" s="207"/>
      <c r="AG36" s="207"/>
      <c r="AH36" s="207"/>
      <c r="AI36" s="207"/>
      <c r="AJ36" s="207"/>
      <c r="AK36" s="207"/>
      <c r="AL36" s="207"/>
      <c r="AM36" s="207"/>
      <c r="AN36" s="207"/>
      <c r="AO36" s="207"/>
      <c r="AP36" s="207"/>
      <c r="AQ36" s="207"/>
      <c r="AR36" s="207"/>
      <c r="AS36" s="207"/>
      <c r="AT36" s="207"/>
      <c r="AU36" s="207"/>
      <c r="AV36" s="207"/>
      <c r="AW36" s="207"/>
      <c r="AX36" s="207"/>
      <c r="AY36" s="207"/>
      <c r="AZ36" s="207"/>
      <c r="BA36" s="207"/>
      <c r="BB36" s="274"/>
      <c r="BC36" s="274"/>
      <c r="BD36" s="193"/>
      <c r="BE36" s="193"/>
    </row>
    <row r="37" spans="1:59" ht="11" thickBot="1" x14ac:dyDescent="0.25">
      <c r="A37" s="259"/>
      <c r="B37" s="259"/>
      <c r="C37" s="275"/>
      <c r="D37" s="275"/>
      <c r="E37" s="275"/>
      <c r="F37" s="262"/>
      <c r="G37" s="262"/>
      <c r="H37" s="262"/>
      <c r="I37" s="276"/>
      <c r="J37" s="276"/>
      <c r="K37" s="276"/>
      <c r="L37" s="276"/>
      <c r="M37" s="276"/>
      <c r="N37" s="276"/>
      <c r="O37" s="276"/>
      <c r="P37" s="276"/>
      <c r="Q37" s="276"/>
      <c r="R37" s="276"/>
      <c r="S37" s="276"/>
      <c r="T37" s="277"/>
      <c r="U37" s="206"/>
      <c r="V37" s="206"/>
      <c r="W37" s="206"/>
      <c r="X37" s="206"/>
      <c r="Y37" s="206"/>
      <c r="Z37" s="206"/>
      <c r="AA37" s="206"/>
      <c r="AB37" s="206"/>
      <c r="AC37" s="206"/>
      <c r="AD37" s="206"/>
      <c r="AE37" s="206"/>
      <c r="AF37" s="206"/>
      <c r="AG37" s="206"/>
      <c r="AH37" s="206"/>
      <c r="AI37" s="206"/>
      <c r="AJ37" s="206"/>
      <c r="AK37" s="206"/>
      <c r="AL37" s="206"/>
      <c r="AM37" s="206"/>
      <c r="AN37" s="206"/>
      <c r="AO37" s="206"/>
      <c r="AP37" s="206"/>
      <c r="AQ37" s="206"/>
      <c r="AR37" s="206"/>
      <c r="AS37" s="206"/>
      <c r="AT37" s="206"/>
      <c r="AU37" s="206"/>
      <c r="AV37" s="206"/>
      <c r="AW37" s="206"/>
      <c r="AX37" s="206"/>
      <c r="AY37" s="206"/>
      <c r="AZ37" s="206"/>
      <c r="BA37" s="206"/>
      <c r="BB37" s="193"/>
      <c r="BC37" s="193"/>
      <c r="BD37" s="193"/>
      <c r="BE37" s="193"/>
    </row>
    <row r="38" spans="1:59" ht="11" thickBot="1" x14ac:dyDescent="0.25">
      <c r="A38" s="208"/>
      <c r="B38" s="532" t="s">
        <v>1083</v>
      </c>
      <c r="C38" s="532"/>
      <c r="D38" s="209" t="s">
        <v>1084</v>
      </c>
      <c r="E38" s="209"/>
      <c r="F38" s="210"/>
      <c r="G38" s="210"/>
      <c r="H38" s="210"/>
      <c r="I38" s="210"/>
      <c r="J38" s="210"/>
      <c r="K38" s="210"/>
      <c r="L38" s="211"/>
      <c r="N38" s="262"/>
      <c r="O38" s="262"/>
      <c r="P38" s="262"/>
      <c r="Q38" s="262"/>
      <c r="R38" s="262"/>
      <c r="S38" s="262"/>
      <c r="T38" s="262"/>
      <c r="U38" s="262"/>
      <c r="V38" s="193"/>
      <c r="W38" s="193"/>
      <c r="X38" s="193"/>
      <c r="Y38" s="193"/>
      <c r="Z38" s="193"/>
      <c r="AA38" s="193"/>
      <c r="AB38" s="193"/>
      <c r="AC38" s="193"/>
      <c r="AD38" s="193"/>
      <c r="AE38" s="193"/>
      <c r="AF38" s="193"/>
      <c r="AG38" s="193"/>
      <c r="AH38" s="193"/>
      <c r="AI38" s="193"/>
      <c r="AJ38" s="193"/>
      <c r="AK38" s="193"/>
      <c r="AL38" s="193"/>
      <c r="AM38" s="193"/>
      <c r="AN38" s="193"/>
      <c r="AO38" s="193"/>
      <c r="AP38" s="193"/>
      <c r="AQ38" s="193"/>
      <c r="AR38" s="193"/>
      <c r="AS38" s="193"/>
      <c r="AT38" s="193"/>
      <c r="AU38" s="193"/>
      <c r="AV38" s="193"/>
      <c r="AW38" s="193"/>
      <c r="AX38" s="193"/>
      <c r="AY38" s="193"/>
      <c r="AZ38" s="193"/>
      <c r="BA38" s="193"/>
      <c r="BB38" s="193"/>
      <c r="BC38" s="193"/>
      <c r="BD38" s="193"/>
      <c r="BE38" s="193"/>
    </row>
    <row r="39" spans="1:59" ht="21.5" thickBot="1" x14ac:dyDescent="0.3">
      <c r="A39" s="212"/>
      <c r="B39" s="213" t="s">
        <v>1085</v>
      </c>
      <c r="C39" s="213" t="s">
        <v>1086</v>
      </c>
      <c r="D39" s="213" t="s">
        <v>1085</v>
      </c>
      <c r="E39" s="213" t="s">
        <v>1086</v>
      </c>
      <c r="F39" s="214" t="s">
        <v>1087</v>
      </c>
      <c r="G39" s="533"/>
      <c r="H39" s="534"/>
      <c r="I39" s="539" t="s">
        <v>1088</v>
      </c>
      <c r="J39" s="540"/>
      <c r="K39" s="540"/>
      <c r="L39" s="541"/>
      <c r="N39" s="262"/>
      <c r="O39" s="262"/>
      <c r="P39" s="262"/>
      <c r="Q39" s="262"/>
      <c r="R39" s="262"/>
      <c r="S39" s="262"/>
      <c r="T39" s="262"/>
      <c r="U39" s="262"/>
      <c r="V39" s="193"/>
      <c r="W39" s="193"/>
      <c r="X39" s="193"/>
      <c r="Y39" s="193"/>
      <c r="Z39" s="193"/>
      <c r="AA39" s="193"/>
      <c r="AB39" s="193"/>
      <c r="AC39" s="193"/>
      <c r="AD39" s="193"/>
      <c r="AE39" s="193"/>
      <c r="AF39" s="193"/>
      <c r="AG39" s="193"/>
      <c r="AH39" s="193"/>
      <c r="AI39" s="193"/>
      <c r="AJ39" s="292"/>
      <c r="AK39" s="193"/>
      <c r="AL39" s="193"/>
      <c r="AM39" s="193"/>
      <c r="AN39" s="193"/>
      <c r="AO39" s="193"/>
      <c r="AP39" s="193"/>
      <c r="AQ39" s="193"/>
      <c r="AR39" s="193"/>
      <c r="AS39" s="193"/>
      <c r="AT39" s="193"/>
      <c r="AU39" s="193"/>
      <c r="AV39" s="193"/>
      <c r="AW39" s="193"/>
      <c r="AX39" s="193"/>
      <c r="AY39" s="193"/>
      <c r="AZ39" s="193"/>
      <c r="BA39" s="193"/>
      <c r="BB39" s="193"/>
      <c r="BC39" s="193"/>
      <c r="BD39" s="193"/>
      <c r="BE39" s="193"/>
    </row>
    <row r="40" spans="1:59" ht="12.5" x14ac:dyDescent="0.2">
      <c r="A40" s="215" t="s">
        <v>1089</v>
      </c>
      <c r="B40" s="216">
        <v>0</v>
      </c>
      <c r="C40" s="216">
        <f>+$D$46*E40</f>
        <v>2549895</v>
      </c>
      <c r="D40" s="217" t="s">
        <v>1090</v>
      </c>
      <c r="E40" s="217">
        <v>95</v>
      </c>
      <c r="F40" s="218">
        <v>0</v>
      </c>
      <c r="G40" s="535"/>
      <c r="H40" s="536"/>
      <c r="I40" s="542"/>
      <c r="J40" s="543"/>
      <c r="K40" s="543"/>
      <c r="L40" s="544"/>
      <c r="N40" s="193"/>
      <c r="O40" s="193"/>
      <c r="P40" s="262"/>
      <c r="Q40" s="262"/>
      <c r="R40" s="262"/>
      <c r="S40" s="262"/>
      <c r="T40" s="262"/>
      <c r="U40" s="262"/>
      <c r="V40" s="369">
        <v>2091400</v>
      </c>
      <c r="W40" s="193"/>
      <c r="X40" s="193"/>
      <c r="Y40" s="193"/>
      <c r="Z40" s="193"/>
      <c r="AA40" s="193"/>
      <c r="AB40" s="193"/>
      <c r="AC40" s="193"/>
      <c r="AD40" s="193"/>
      <c r="AE40" s="193"/>
      <c r="AF40" s="193"/>
      <c r="AG40" s="193"/>
      <c r="AH40" s="193"/>
      <c r="AI40" s="193"/>
      <c r="AJ40" s="193"/>
      <c r="AK40" s="292"/>
      <c r="AL40" s="193"/>
      <c r="AM40" s="193"/>
      <c r="AN40" s="193"/>
      <c r="AO40" s="193"/>
      <c r="AP40" s="193"/>
      <c r="AQ40" s="193"/>
      <c r="AR40" s="193"/>
      <c r="AS40" s="193"/>
      <c r="AT40" s="193"/>
      <c r="AU40" s="193"/>
      <c r="AV40" s="193"/>
      <c r="AW40" s="193"/>
      <c r="AX40" s="193"/>
      <c r="AY40" s="193"/>
      <c r="AZ40" s="193"/>
      <c r="BA40" s="193"/>
      <c r="BB40" s="193"/>
      <c r="BC40" s="193"/>
      <c r="BD40" s="193"/>
      <c r="BE40" s="193"/>
    </row>
    <row r="41" spans="1:59" ht="12.5" x14ac:dyDescent="0.2">
      <c r="A41" s="219" t="s">
        <v>1091</v>
      </c>
      <c r="B41" s="220">
        <f>+C40+1</f>
        <v>2549896</v>
      </c>
      <c r="C41" s="220">
        <f>+$D$46*E41</f>
        <v>4026150</v>
      </c>
      <c r="D41" s="221" t="s">
        <v>1092</v>
      </c>
      <c r="E41" s="221">
        <v>150</v>
      </c>
      <c r="F41" s="222">
        <v>0.19</v>
      </c>
      <c r="G41" s="535"/>
      <c r="H41" s="536"/>
      <c r="I41" s="223" t="s">
        <v>1093</v>
      </c>
      <c r="J41" s="223"/>
      <c r="K41" s="224"/>
      <c r="L41" s="225"/>
      <c r="N41" s="262"/>
      <c r="O41" s="264"/>
      <c r="P41" s="262"/>
      <c r="Q41" s="262"/>
      <c r="R41" s="262"/>
      <c r="S41" s="262"/>
      <c r="T41" s="262"/>
      <c r="U41" s="262"/>
      <c r="V41" s="369">
        <f>+V40/12</f>
        <v>174283.33333333334</v>
      </c>
      <c r="W41" s="193"/>
      <c r="X41" s="193"/>
      <c r="Y41" s="193"/>
      <c r="Z41" s="193"/>
      <c r="AA41" s="193"/>
      <c r="AB41" s="193"/>
      <c r="AC41" s="193"/>
      <c r="AD41" s="193"/>
      <c r="AE41" s="193"/>
      <c r="AF41" s="193"/>
      <c r="AG41" s="193"/>
      <c r="AH41" s="193"/>
      <c r="AI41" s="193"/>
      <c r="AJ41" s="193"/>
      <c r="AK41" s="193"/>
      <c r="AL41" s="193"/>
      <c r="AM41" s="193"/>
      <c r="AN41" s="193"/>
      <c r="AO41" s="193"/>
      <c r="AP41" s="193"/>
      <c r="AQ41" s="193"/>
      <c r="AR41" s="193"/>
      <c r="AS41" s="193"/>
      <c r="AT41" s="193"/>
      <c r="AU41" s="193"/>
      <c r="AV41" s="193"/>
      <c r="AW41" s="193"/>
      <c r="AX41" s="193"/>
      <c r="AY41" s="292"/>
      <c r="AZ41" s="193"/>
      <c r="BA41" s="193"/>
      <c r="BB41" s="193"/>
      <c r="BC41" s="193"/>
      <c r="BD41" s="193"/>
      <c r="BE41" s="193"/>
    </row>
    <row r="42" spans="1:59" ht="12.5" x14ac:dyDescent="0.2">
      <c r="A42" s="219" t="s">
        <v>1094</v>
      </c>
      <c r="B42" s="220">
        <f>+C41+1</f>
        <v>4026151</v>
      </c>
      <c r="C42" s="220">
        <f>+$D$46*E42</f>
        <v>9662760</v>
      </c>
      <c r="D42" s="221" t="s">
        <v>1095</v>
      </c>
      <c r="E42" s="221">
        <v>360</v>
      </c>
      <c r="F42" s="222">
        <v>0.28000000000000003</v>
      </c>
      <c r="G42" s="535"/>
      <c r="H42" s="536"/>
      <c r="I42" s="223" t="s">
        <v>1096</v>
      </c>
      <c r="J42" s="223"/>
      <c r="K42" s="224"/>
      <c r="L42" s="225"/>
      <c r="N42" s="262"/>
      <c r="O42" s="262"/>
      <c r="P42" s="262"/>
      <c r="Q42" s="262"/>
      <c r="R42" s="262"/>
      <c r="S42" s="262"/>
      <c r="T42" s="262"/>
      <c r="U42" s="262"/>
      <c r="V42" s="369"/>
      <c r="W42" s="193"/>
      <c r="X42" s="193"/>
      <c r="Y42" s="193"/>
      <c r="Z42" s="193"/>
      <c r="AA42" s="193"/>
      <c r="AB42" s="193"/>
      <c r="AC42" s="193"/>
      <c r="AD42" s="193"/>
      <c r="AE42" s="193"/>
      <c r="AF42" s="193"/>
      <c r="AG42" s="193"/>
      <c r="AH42" s="193"/>
      <c r="AI42" s="193"/>
      <c r="AJ42" s="193"/>
      <c r="AK42" s="292"/>
      <c r="AL42" s="193"/>
      <c r="AM42" s="193"/>
      <c r="AN42" s="193"/>
      <c r="AO42" s="193"/>
      <c r="AP42" s="193"/>
      <c r="AQ42" s="193"/>
      <c r="AR42" s="193"/>
      <c r="AS42" s="193"/>
      <c r="AT42" s="193"/>
      <c r="AU42" s="193"/>
      <c r="AV42" s="193"/>
      <c r="AW42" s="193"/>
      <c r="AX42" s="193"/>
      <c r="AY42" s="193"/>
      <c r="AZ42" s="193"/>
      <c r="BA42" s="193"/>
      <c r="BB42" s="193"/>
      <c r="BC42" s="193"/>
      <c r="BD42" s="193"/>
      <c r="BE42" s="193"/>
    </row>
    <row r="43" spans="1:59" ht="13" thickBot="1" x14ac:dyDescent="0.3">
      <c r="A43" s="226" t="s">
        <v>1097</v>
      </c>
      <c r="B43" s="227">
        <f>+C42+1</f>
        <v>9662761</v>
      </c>
      <c r="C43" s="227"/>
      <c r="D43" s="228" t="s">
        <v>1098</v>
      </c>
      <c r="E43" s="228">
        <v>999999</v>
      </c>
      <c r="F43" s="229">
        <v>0.33</v>
      </c>
      <c r="G43" s="537"/>
      <c r="H43" s="538"/>
      <c r="I43" s="230" t="s">
        <v>1099</v>
      </c>
      <c r="J43" s="230"/>
      <c r="K43" s="231"/>
      <c r="L43" s="232"/>
      <c r="N43" s="262"/>
      <c r="O43" s="262"/>
      <c r="P43" s="262"/>
      <c r="Q43" s="262"/>
      <c r="R43" s="262"/>
      <c r="S43" s="262"/>
      <c r="T43" s="262"/>
      <c r="U43" s="262"/>
      <c r="V43" s="369"/>
      <c r="W43" s="193"/>
      <c r="X43" s="193"/>
      <c r="Y43" s="193"/>
      <c r="Z43" s="193"/>
      <c r="AA43" s="193"/>
      <c r="AB43" s="193"/>
      <c r="AC43" s="193"/>
      <c r="AD43" s="193"/>
      <c r="AE43" s="193"/>
      <c r="AF43" s="193"/>
      <c r="AG43" s="193"/>
      <c r="AH43" s="193"/>
      <c r="AI43" s="193"/>
      <c r="AJ43" s="193"/>
      <c r="AK43" s="193"/>
      <c r="AL43" s="193"/>
      <c r="AM43" s="193"/>
      <c r="AN43" s="193"/>
      <c r="AO43" s="193"/>
      <c r="AP43" s="193"/>
      <c r="AQ43" s="193"/>
      <c r="AR43" s="193"/>
      <c r="AS43" s="193"/>
      <c r="AT43" s="193"/>
      <c r="AU43" s="193"/>
      <c r="AV43" s="193"/>
      <c r="AW43" s="193"/>
      <c r="AX43" s="193"/>
      <c r="AY43" s="193"/>
      <c r="AZ43" s="193"/>
      <c r="BA43" s="193"/>
      <c r="BB43" s="193"/>
      <c r="BC43" s="193"/>
      <c r="BD43" s="193"/>
      <c r="BE43" s="193"/>
    </row>
    <row r="44" spans="1:59" ht="13" thickBot="1" x14ac:dyDescent="0.25">
      <c r="N44" s="262"/>
      <c r="O44" s="262"/>
      <c r="P44" s="262"/>
      <c r="Q44" s="262"/>
      <c r="R44" s="262"/>
      <c r="S44" s="262"/>
      <c r="T44" s="262"/>
      <c r="U44" s="262"/>
      <c r="V44" s="369"/>
      <c r="W44" s="193"/>
      <c r="X44" s="193"/>
      <c r="Y44" s="193"/>
      <c r="Z44" s="193"/>
      <c r="AA44" s="193"/>
      <c r="AB44" s="193"/>
      <c r="AC44" s="193"/>
      <c r="AD44" s="193"/>
      <c r="AE44" s="193"/>
      <c r="AF44" s="193"/>
      <c r="AG44" s="193"/>
      <c r="AH44" s="193"/>
      <c r="AI44" s="193"/>
      <c r="AJ44" s="193"/>
      <c r="AK44" s="193"/>
      <c r="AL44" s="193"/>
      <c r="AM44" s="193"/>
      <c r="AN44" s="193"/>
      <c r="AO44" s="193"/>
      <c r="AP44" s="193"/>
      <c r="AQ44" s="193"/>
      <c r="AR44" s="193"/>
      <c r="AS44" s="193"/>
      <c r="AT44" s="193"/>
      <c r="AU44" s="193"/>
      <c r="AV44" s="193"/>
      <c r="AW44" s="193"/>
      <c r="AX44" s="193"/>
      <c r="AY44" s="193"/>
      <c r="AZ44" s="193"/>
      <c r="BA44" s="193"/>
      <c r="BB44" s="193"/>
      <c r="BC44" s="193"/>
      <c r="BD44" s="193"/>
      <c r="BE44" s="193"/>
    </row>
    <row r="45" spans="1:59" ht="10.5" x14ac:dyDescent="0.25">
      <c r="B45" s="278"/>
      <c r="C45" s="233" t="s">
        <v>1100</v>
      </c>
      <c r="D45" s="234" t="s">
        <v>1101</v>
      </c>
      <c r="E45" s="235" t="s">
        <v>1102</v>
      </c>
      <c r="N45" s="262"/>
      <c r="O45" s="262"/>
      <c r="P45" s="262"/>
      <c r="Q45" s="262"/>
      <c r="R45" s="262"/>
      <c r="S45" s="262"/>
      <c r="T45" s="262"/>
      <c r="U45" s="262"/>
      <c r="V45" s="193"/>
      <c r="W45" s="193"/>
      <c r="X45" s="193"/>
      <c r="Y45" s="193"/>
      <c r="Z45" s="193"/>
      <c r="AA45" s="193"/>
      <c r="AB45" s="193"/>
      <c r="AC45" s="193"/>
      <c r="AD45" s="193"/>
      <c r="AE45" s="279"/>
      <c r="AF45" s="193"/>
      <c r="AG45" s="193"/>
      <c r="AH45" s="193"/>
      <c r="AI45" s="193"/>
      <c r="AJ45" s="193"/>
      <c r="AK45" s="193"/>
      <c r="AL45" s="292"/>
      <c r="AM45" s="193"/>
      <c r="AN45" s="193"/>
      <c r="AO45" s="193"/>
      <c r="AP45" s="193"/>
      <c r="AQ45" s="193"/>
      <c r="AR45" s="193"/>
      <c r="AS45" s="193"/>
      <c r="AT45" s="193"/>
      <c r="AU45" s="193"/>
      <c r="AV45" s="193"/>
      <c r="AW45" s="193"/>
      <c r="AX45" s="193"/>
      <c r="AY45" s="193"/>
      <c r="AZ45" s="193"/>
      <c r="BA45" s="193"/>
      <c r="BB45" s="193"/>
      <c r="BC45" s="193"/>
      <c r="BD45" s="193"/>
      <c r="BE45" s="193"/>
    </row>
    <row r="46" spans="1:59" ht="10.5" customHeight="1" thickBot="1" x14ac:dyDescent="0.3">
      <c r="B46" s="278"/>
      <c r="C46" s="236">
        <f>+C40</f>
        <v>2549895</v>
      </c>
      <c r="D46" s="237">
        <v>26841</v>
      </c>
      <c r="E46" s="238">
        <v>26841</v>
      </c>
      <c r="H46" s="356"/>
      <c r="J46" s="239"/>
      <c r="N46" s="262"/>
      <c r="O46" s="262"/>
      <c r="P46" s="262"/>
      <c r="Q46" s="262"/>
      <c r="R46" s="262"/>
      <c r="S46" s="262"/>
      <c r="T46" s="262"/>
      <c r="U46" s="262"/>
      <c r="V46" s="193"/>
      <c r="W46" s="193"/>
      <c r="X46" s="193"/>
      <c r="Y46" s="193"/>
      <c r="Z46" s="193"/>
      <c r="AA46" s="193"/>
      <c r="AB46" s="193"/>
      <c r="AC46" s="193"/>
      <c r="AD46" s="193"/>
      <c r="AE46" s="279"/>
      <c r="AF46" s="193"/>
      <c r="AG46" s="193"/>
      <c r="AH46" s="193"/>
      <c r="AI46" s="193"/>
      <c r="AJ46" s="193"/>
      <c r="AK46" s="193"/>
      <c r="AL46" s="193"/>
      <c r="AM46" s="193"/>
      <c r="AN46" s="193"/>
      <c r="AO46" s="193"/>
      <c r="AP46" s="193"/>
      <c r="AQ46" s="193"/>
      <c r="AR46" s="193"/>
      <c r="AS46" s="193"/>
      <c r="AT46" s="193"/>
      <c r="AU46" s="193"/>
      <c r="AV46" s="193"/>
      <c r="AW46" s="193"/>
      <c r="AX46" s="193"/>
      <c r="AY46" s="193"/>
      <c r="AZ46" s="193"/>
      <c r="BA46" s="193"/>
      <c r="BB46" s="193"/>
      <c r="BC46" s="193"/>
      <c r="BD46" s="193"/>
      <c r="BE46" s="193"/>
    </row>
    <row r="47" spans="1:59" ht="13" thickBot="1" x14ac:dyDescent="0.3">
      <c r="B47" s="278"/>
      <c r="C47" s="280" t="s">
        <v>1103</v>
      </c>
      <c r="D47" s="281">
        <f>+rangos*4600</f>
        <v>123468600</v>
      </c>
      <c r="E47" s="195"/>
      <c r="J47" s="239"/>
      <c r="N47" s="262"/>
      <c r="O47" s="262"/>
      <c r="P47" s="262"/>
      <c r="Q47" s="262"/>
      <c r="R47" s="262"/>
      <c r="S47" s="262"/>
      <c r="T47" s="262"/>
      <c r="U47" s="262"/>
      <c r="V47" s="193"/>
      <c r="W47" s="193"/>
      <c r="X47" s="193"/>
      <c r="Y47" s="193"/>
      <c r="Z47" s="193"/>
      <c r="AA47" s="193"/>
      <c r="AB47" s="193"/>
      <c r="AC47" s="193"/>
      <c r="AD47" s="193"/>
      <c r="AE47" s="278"/>
      <c r="AF47" s="193"/>
      <c r="AG47" s="193"/>
      <c r="AH47" s="193"/>
      <c r="AI47" s="193"/>
      <c r="AJ47" s="193"/>
      <c r="AK47" s="193"/>
      <c r="AL47" s="193"/>
      <c r="AM47" s="193"/>
      <c r="AN47" s="193"/>
      <c r="AO47" s="193"/>
      <c r="AP47" s="193"/>
      <c r="AQ47" s="193"/>
      <c r="AR47" s="193"/>
      <c r="AS47" s="193"/>
      <c r="AT47" s="193"/>
      <c r="AU47" s="193"/>
      <c r="AV47" s="193"/>
      <c r="AW47" s="193"/>
      <c r="AX47" s="193"/>
      <c r="AY47" s="193"/>
      <c r="AZ47" s="193"/>
      <c r="BA47" s="193"/>
      <c r="BB47" s="193"/>
      <c r="BC47" s="193"/>
      <c r="BD47" s="193"/>
      <c r="BE47" s="193"/>
      <c r="BG47" s="196"/>
    </row>
    <row r="48" spans="1:59" ht="13" thickBot="1" x14ac:dyDescent="0.3">
      <c r="B48" s="194"/>
      <c r="C48" s="195"/>
      <c r="N48" s="262"/>
      <c r="O48" s="262"/>
      <c r="P48" s="262"/>
      <c r="Q48" s="262"/>
      <c r="R48" s="262"/>
      <c r="S48" s="262"/>
      <c r="T48" s="262"/>
      <c r="U48" s="262"/>
      <c r="V48" s="369"/>
      <c r="W48" s="193"/>
      <c r="X48" s="193"/>
      <c r="Y48" s="193"/>
      <c r="Z48" s="193"/>
      <c r="AA48" s="193"/>
      <c r="AB48" s="193"/>
      <c r="AC48" s="193"/>
      <c r="AD48" s="193"/>
      <c r="AE48" s="279"/>
      <c r="AF48" s="193"/>
      <c r="AG48" s="193"/>
      <c r="AH48" s="193"/>
      <c r="AI48" s="193"/>
      <c r="AJ48" s="193"/>
      <c r="AK48" s="193"/>
      <c r="AL48" s="193"/>
      <c r="AM48" s="193"/>
      <c r="AN48" s="193"/>
      <c r="AO48" s="193"/>
      <c r="AP48" s="193"/>
      <c r="AQ48" s="193"/>
      <c r="AR48" s="193"/>
      <c r="AS48" s="193"/>
      <c r="AT48" s="193"/>
      <c r="AU48" s="193"/>
      <c r="AV48" s="193"/>
      <c r="AW48" s="193"/>
      <c r="AX48" s="193"/>
      <c r="AY48" s="193"/>
      <c r="AZ48" s="193"/>
      <c r="BA48" s="193"/>
      <c r="BB48" s="193"/>
      <c r="BC48" s="193"/>
      <c r="BD48" s="193"/>
      <c r="BE48" s="193"/>
    </row>
    <row r="49" spans="1:56" ht="24" customHeight="1" x14ac:dyDescent="0.2">
      <c r="A49" s="240" t="s">
        <v>1029</v>
      </c>
      <c r="B49" s="241" t="s">
        <v>1030</v>
      </c>
      <c r="C49" s="241" t="s">
        <v>1031</v>
      </c>
      <c r="D49" s="371" t="s">
        <v>1032</v>
      </c>
      <c r="E49" s="282" t="s">
        <v>1104</v>
      </c>
      <c r="F49" s="242"/>
      <c r="G49" s="242"/>
      <c r="H49" s="282" t="s">
        <v>1105</v>
      </c>
      <c r="I49" s="282" t="s">
        <v>1106</v>
      </c>
      <c r="J49" s="282" t="s">
        <v>1107</v>
      </c>
      <c r="K49" s="283" t="s">
        <v>1108</v>
      </c>
      <c r="R49" s="193"/>
      <c r="S49" s="193"/>
      <c r="T49" s="193"/>
      <c r="U49" s="193"/>
      <c r="V49" s="193"/>
      <c r="W49" s="193"/>
      <c r="X49" s="193"/>
      <c r="Y49" s="193"/>
      <c r="Z49" s="193"/>
      <c r="AA49" s="279"/>
      <c r="AB49" s="193"/>
      <c r="AC49" s="193"/>
      <c r="AD49" s="193"/>
      <c r="AE49" s="193"/>
      <c r="AF49" s="193"/>
      <c r="AG49" s="193"/>
      <c r="AH49" s="193"/>
      <c r="AI49" s="193"/>
      <c r="AJ49" s="193"/>
      <c r="AK49" s="193"/>
      <c r="AL49" s="193"/>
      <c r="AM49" s="193"/>
      <c r="AN49" s="193"/>
      <c r="AO49" s="193"/>
      <c r="AP49" s="193"/>
      <c r="AQ49" s="193"/>
      <c r="AR49" s="193"/>
      <c r="AS49" s="193"/>
      <c r="AT49" s="193"/>
      <c r="AU49" s="193"/>
      <c r="AV49" s="193"/>
      <c r="AW49" s="193"/>
      <c r="AX49" s="193"/>
      <c r="AY49" s="193"/>
      <c r="AZ49" s="193"/>
      <c r="BA49" s="193"/>
      <c r="BB49" s="193"/>
      <c r="BC49" s="193"/>
      <c r="BD49" s="193"/>
    </row>
    <row r="50" spans="1:56" x14ac:dyDescent="0.2">
      <c r="A50" s="243" t="e">
        <f>A4</f>
        <v>#REF!</v>
      </c>
      <c r="B50" s="244" t="str">
        <f>B4</f>
        <v>C</v>
      </c>
      <c r="C50" s="245" t="e">
        <f>C4</f>
        <v>#REF!</v>
      </c>
      <c r="D50" s="245" t="str">
        <f>D4</f>
        <v>Profesional Especializado</v>
      </c>
      <c r="E50" s="246" t="e">
        <f>ROUND((AZ4),0)</f>
        <v>#REF!</v>
      </c>
      <c r="F50" s="245"/>
      <c r="G50" s="245"/>
      <c r="H50" s="245" t="e">
        <f t="shared" ref="H50:H79" si="22">IF(E50/rangos+0.01&lt;95.01,0,IF(AND(E50/rangos&gt;95,E50/rangos+0.01&lt;150.01),((E50/rangos)-95)*0.19,IF(AND(E50/rangos+0.01&gt;150.01,E50/rangos+0.01&lt;360.01),((E50/rangos)-150)*0.28+10,((E50/rangos)-360)*0.33+69)))</f>
        <v>#REF!</v>
      </c>
      <c r="I50" s="247" t="e">
        <f t="shared" ref="I50:I76" si="23">ROUND((E50*J50),0-3)</f>
        <v>#REF!</v>
      </c>
      <c r="J50" s="293">
        <v>2.3400000000000001E-2</v>
      </c>
      <c r="K50" s="321" t="str">
        <f>G4</f>
        <v>2</v>
      </c>
      <c r="R50" s="193"/>
      <c r="S50" s="193"/>
      <c r="T50" s="193"/>
      <c r="U50" s="193"/>
      <c r="V50" s="193"/>
      <c r="W50" s="193"/>
      <c r="X50" s="193"/>
      <c r="Y50" s="193"/>
      <c r="Z50" s="193"/>
      <c r="AA50" s="279"/>
      <c r="AB50" s="279"/>
      <c r="AC50" s="284"/>
      <c r="AD50" s="193"/>
      <c r="AE50" s="193"/>
      <c r="AF50" s="193"/>
      <c r="AG50" s="193"/>
      <c r="AH50" s="193"/>
      <c r="AI50" s="193"/>
      <c r="AJ50" s="193"/>
      <c r="AK50" s="193"/>
      <c r="AL50" s="193"/>
      <c r="AM50" s="193"/>
      <c r="AN50" s="193"/>
      <c r="AO50" s="193"/>
      <c r="AP50" s="193"/>
      <c r="AQ50" s="193"/>
      <c r="AR50" s="193"/>
      <c r="AS50" s="193"/>
      <c r="AT50" s="193"/>
      <c r="AU50" s="193"/>
      <c r="AV50" s="193"/>
      <c r="AW50" s="193"/>
      <c r="AX50" s="193"/>
      <c r="AY50" s="193"/>
      <c r="AZ50" s="193"/>
      <c r="BA50" s="193"/>
      <c r="BB50" s="193"/>
      <c r="BC50" s="193"/>
      <c r="BD50" s="193"/>
    </row>
    <row r="51" spans="1:56" x14ac:dyDescent="0.2">
      <c r="A51" s="243" t="e">
        <f t="shared" ref="A51:D79" si="24">A5</f>
        <v>#REF!</v>
      </c>
      <c r="B51" s="244" t="str">
        <f t="shared" si="24"/>
        <v>C</v>
      </c>
      <c r="C51" s="245" t="e">
        <f t="shared" si="24"/>
        <v>#REF!</v>
      </c>
      <c r="D51" s="245" t="str">
        <f t="shared" si="24"/>
        <v xml:space="preserve">Profesional Universitario </v>
      </c>
      <c r="E51" s="246" t="e">
        <f t="shared" ref="E51:E79" si="25">ROUND((AZ5),0)</f>
        <v>#REF!</v>
      </c>
      <c r="F51" s="245"/>
      <c r="G51" s="245"/>
      <c r="H51" s="245" t="e">
        <f t="shared" si="22"/>
        <v>#REF!</v>
      </c>
      <c r="I51" s="247" t="e">
        <f t="shared" si="23"/>
        <v>#REF!</v>
      </c>
      <c r="J51" s="293">
        <v>3.3999999999999998E-3</v>
      </c>
      <c r="K51" s="321" t="str">
        <f t="shared" ref="K51:K79" si="26">G5</f>
        <v>2</v>
      </c>
      <c r="R51" s="193"/>
      <c r="S51" s="193"/>
      <c r="T51" s="193"/>
      <c r="U51" s="193"/>
      <c r="V51" s="193"/>
      <c r="W51" s="193"/>
      <c r="X51" s="193"/>
      <c r="Y51" s="193"/>
      <c r="Z51" s="193"/>
      <c r="AA51" s="279"/>
      <c r="AB51" s="279"/>
      <c r="AC51" s="284"/>
      <c r="AD51" s="284"/>
      <c r="AE51" s="193"/>
      <c r="AF51" s="193"/>
      <c r="AG51" s="193"/>
      <c r="AH51" s="193"/>
      <c r="AI51" s="193"/>
      <c r="AJ51" s="193"/>
      <c r="AK51" s="193"/>
      <c r="AL51" s="193"/>
      <c r="AM51" s="193"/>
      <c r="AN51" s="193"/>
      <c r="AO51" s="193"/>
      <c r="AP51" s="193"/>
      <c r="AQ51" s="193"/>
      <c r="AR51" s="193"/>
      <c r="AS51" s="193"/>
      <c r="AT51" s="193"/>
      <c r="AU51" s="193"/>
      <c r="AV51" s="193"/>
      <c r="AW51" s="193"/>
      <c r="AX51" s="193"/>
      <c r="AY51" s="193"/>
      <c r="AZ51" s="193"/>
      <c r="BA51" s="193"/>
      <c r="BB51" s="193"/>
      <c r="BC51" s="193"/>
      <c r="BD51" s="193"/>
    </row>
    <row r="52" spans="1:56" x14ac:dyDescent="0.2">
      <c r="A52" s="243" t="e">
        <f t="shared" si="24"/>
        <v>#REF!</v>
      </c>
      <c r="B52" s="244" t="str">
        <f t="shared" si="24"/>
        <v>C</v>
      </c>
      <c r="C52" s="245" t="e">
        <f t="shared" si="24"/>
        <v>#REF!</v>
      </c>
      <c r="D52" s="245" t="str">
        <f t="shared" si="24"/>
        <v>Técnico Administrativo</v>
      </c>
      <c r="E52" s="246" t="e">
        <f t="shared" si="25"/>
        <v>#REF!</v>
      </c>
      <c r="F52" s="245"/>
      <c r="G52" s="245"/>
      <c r="H52" s="245" t="e">
        <f t="shared" si="22"/>
        <v>#REF!</v>
      </c>
      <c r="I52" s="247" t="e">
        <f>ROUND((H52*rangos),0-3)</f>
        <v>#REF!</v>
      </c>
      <c r="J52" s="293" t="e">
        <f>I52/E52</f>
        <v>#REF!</v>
      </c>
      <c r="K52" s="321" t="str">
        <f t="shared" si="26"/>
        <v>1</v>
      </c>
      <c r="R52" s="193"/>
      <c r="S52" s="193"/>
      <c r="T52" s="193"/>
      <c r="U52" s="193"/>
      <c r="V52" s="193"/>
      <c r="W52" s="193"/>
      <c r="X52" s="193"/>
      <c r="Y52" s="193"/>
      <c r="Z52" s="193"/>
      <c r="AA52" s="279"/>
      <c r="AB52" s="279"/>
      <c r="AC52" s="284"/>
      <c r="AD52" s="284"/>
      <c r="AE52" s="193"/>
      <c r="AF52" s="193"/>
      <c r="AG52" s="193"/>
      <c r="AH52" s="193"/>
      <c r="AI52" s="193"/>
      <c r="AJ52" s="193"/>
      <c r="AK52" s="193"/>
      <c r="AL52" s="193"/>
      <c r="AM52" s="193"/>
      <c r="AN52" s="193"/>
      <c r="AO52" s="193"/>
      <c r="AP52" s="193"/>
      <c r="AQ52" s="193"/>
      <c r="AR52" s="193"/>
      <c r="AS52" s="193"/>
      <c r="AT52" s="193"/>
      <c r="AU52" s="193"/>
      <c r="AV52" s="193"/>
      <c r="AW52" s="193"/>
      <c r="AX52" s="193"/>
      <c r="AY52" s="193"/>
      <c r="AZ52" s="193"/>
      <c r="BA52" s="193"/>
      <c r="BB52" s="193"/>
      <c r="BC52" s="193"/>
      <c r="BD52" s="193"/>
    </row>
    <row r="53" spans="1:56" x14ac:dyDescent="0.2">
      <c r="A53" s="243" t="e">
        <f t="shared" si="24"/>
        <v>#REF!</v>
      </c>
      <c r="B53" s="244" t="str">
        <f t="shared" si="24"/>
        <v>C</v>
      </c>
      <c r="C53" s="245" t="e">
        <f t="shared" si="24"/>
        <v>#REF!</v>
      </c>
      <c r="D53" s="245" t="str">
        <f t="shared" si="24"/>
        <v>Subdirector Técnico</v>
      </c>
      <c r="E53" s="246" t="e">
        <f t="shared" si="25"/>
        <v>#REF!</v>
      </c>
      <c r="F53" s="245"/>
      <c r="G53" s="245"/>
      <c r="H53" s="245" t="e">
        <f t="shared" si="22"/>
        <v>#REF!</v>
      </c>
      <c r="I53" s="247" t="e">
        <f>ROUND((H53*rangos),0-3)</f>
        <v>#REF!</v>
      </c>
      <c r="J53" s="293" t="e">
        <f>I53/E53</f>
        <v>#REF!</v>
      </c>
      <c r="K53" s="321" t="str">
        <f t="shared" si="26"/>
        <v>1</v>
      </c>
      <c r="R53" s="193"/>
      <c r="S53" s="193"/>
      <c r="T53" s="193"/>
      <c r="U53" s="193"/>
      <c r="V53" s="193"/>
      <c r="W53" s="193"/>
      <c r="X53" s="193"/>
      <c r="Y53" s="193"/>
      <c r="Z53" s="193"/>
      <c r="AA53" s="279"/>
      <c r="AB53" s="279"/>
      <c r="AC53" s="284"/>
      <c r="AD53" s="284"/>
      <c r="AE53" s="193"/>
      <c r="AF53" s="193"/>
      <c r="AG53" s="193"/>
      <c r="AH53" s="193"/>
      <c r="AI53" s="193"/>
      <c r="AJ53" s="193"/>
      <c r="AK53" s="193"/>
      <c r="AL53" s="193"/>
      <c r="AM53" s="193"/>
      <c r="AN53" s="193"/>
      <c r="AO53" s="193"/>
      <c r="AP53" s="193"/>
      <c r="AQ53" s="193"/>
      <c r="AR53" s="193"/>
      <c r="AS53" s="193"/>
      <c r="AT53" s="193"/>
      <c r="AU53" s="193"/>
      <c r="AV53" s="193"/>
      <c r="AW53" s="193"/>
      <c r="AX53" s="193"/>
      <c r="AY53" s="193"/>
      <c r="AZ53" s="193"/>
      <c r="BA53" s="193"/>
      <c r="BB53" s="193"/>
      <c r="BC53" s="193"/>
      <c r="BD53" s="193"/>
    </row>
    <row r="54" spans="1:56" x14ac:dyDescent="0.2">
      <c r="A54" s="243" t="e">
        <f t="shared" si="24"/>
        <v>#REF!</v>
      </c>
      <c r="B54" s="244" t="str">
        <f t="shared" si="24"/>
        <v>C</v>
      </c>
      <c r="C54" s="245" t="e">
        <f t="shared" si="24"/>
        <v>#REF!</v>
      </c>
      <c r="D54" s="245" t="str">
        <f t="shared" si="24"/>
        <v>Asesor</v>
      </c>
      <c r="E54" s="246" t="e">
        <f t="shared" si="25"/>
        <v>#REF!</v>
      </c>
      <c r="F54" s="245"/>
      <c r="G54" s="245"/>
      <c r="H54" s="245" t="e">
        <f t="shared" si="22"/>
        <v>#REF!</v>
      </c>
      <c r="I54" s="247" t="e">
        <f>ROUND((H54*rangos),0-3)</f>
        <v>#REF!</v>
      </c>
      <c r="J54" s="293" t="e">
        <f>I54/E54</f>
        <v>#REF!</v>
      </c>
      <c r="K54" s="321" t="str">
        <f t="shared" si="26"/>
        <v>1</v>
      </c>
      <c r="R54" s="193"/>
      <c r="S54" s="193"/>
      <c r="T54" s="193"/>
      <c r="U54" s="193"/>
      <c r="V54" s="193"/>
      <c r="W54" s="193"/>
      <c r="X54" s="193"/>
      <c r="Y54" s="193"/>
      <c r="Z54" s="193"/>
      <c r="AA54" s="279"/>
      <c r="AB54" s="279"/>
      <c r="AC54" s="284"/>
      <c r="AD54" s="284"/>
      <c r="AE54" s="193"/>
      <c r="AF54" s="193"/>
      <c r="AG54" s="193"/>
      <c r="AH54" s="193"/>
      <c r="AI54" s="193"/>
      <c r="AJ54" s="193"/>
      <c r="AK54" s="193"/>
      <c r="AL54" s="193"/>
      <c r="AM54" s="193"/>
      <c r="AN54" s="193"/>
      <c r="AO54" s="193"/>
      <c r="AP54" s="193"/>
      <c r="AQ54" s="193"/>
      <c r="AR54" s="193"/>
      <c r="AS54" s="193"/>
      <c r="AT54" s="193"/>
      <c r="AU54" s="193"/>
      <c r="AV54" s="193"/>
      <c r="AW54" s="193"/>
      <c r="AX54" s="193"/>
      <c r="AY54" s="193"/>
      <c r="AZ54" s="193"/>
      <c r="BA54" s="193"/>
      <c r="BB54" s="193"/>
      <c r="BC54" s="193"/>
      <c r="BD54" s="193"/>
    </row>
    <row r="55" spans="1:56" x14ac:dyDescent="0.2">
      <c r="A55" s="243" t="e">
        <f t="shared" si="24"/>
        <v>#REF!</v>
      </c>
      <c r="B55" s="244" t="str">
        <f t="shared" si="24"/>
        <v>C</v>
      </c>
      <c r="C55" s="245" t="e">
        <f t="shared" si="24"/>
        <v>#REF!</v>
      </c>
      <c r="D55" s="245" t="str">
        <f t="shared" si="24"/>
        <v xml:space="preserve">Profesional Universitario </v>
      </c>
      <c r="E55" s="246" t="e">
        <f t="shared" si="25"/>
        <v>#REF!</v>
      </c>
      <c r="F55" s="245"/>
      <c r="G55" s="245"/>
      <c r="H55" s="245" t="e">
        <f t="shared" si="22"/>
        <v>#REF!</v>
      </c>
      <c r="I55" s="247" t="e">
        <f t="shared" si="23"/>
        <v>#REF!</v>
      </c>
      <c r="J55" s="293">
        <v>2.1299999999999999E-2</v>
      </c>
      <c r="K55" s="321" t="str">
        <f t="shared" si="26"/>
        <v>2</v>
      </c>
      <c r="R55" s="193"/>
      <c r="S55" s="193"/>
      <c r="T55" s="193"/>
      <c r="U55" s="193"/>
      <c r="V55" s="193"/>
      <c r="W55" s="193"/>
      <c r="X55" s="193"/>
      <c r="Y55" s="193"/>
      <c r="Z55" s="193"/>
      <c r="AA55" s="279"/>
      <c r="AB55" s="193"/>
      <c r="AC55" s="193"/>
      <c r="AD55" s="193"/>
      <c r="AE55" s="193"/>
      <c r="AF55" s="193"/>
      <c r="AG55" s="193"/>
      <c r="AH55" s="193"/>
      <c r="AI55" s="193"/>
      <c r="AJ55" s="193"/>
      <c r="AK55" s="193"/>
      <c r="AL55" s="193"/>
      <c r="AM55" s="193"/>
      <c r="AN55" s="193"/>
      <c r="AO55" s="193"/>
      <c r="AP55" s="193"/>
      <c r="AQ55" s="193"/>
      <c r="AR55" s="193"/>
      <c r="AS55" s="193"/>
      <c r="AT55" s="193"/>
      <c r="AU55" s="193"/>
      <c r="AV55" s="193"/>
      <c r="AW55" s="193"/>
      <c r="AX55" s="193"/>
      <c r="AY55" s="193"/>
      <c r="AZ55" s="193"/>
      <c r="BA55" s="193"/>
      <c r="BB55" s="193"/>
      <c r="BC55" s="193"/>
      <c r="BD55" s="193"/>
    </row>
    <row r="56" spans="1:56" x14ac:dyDescent="0.2">
      <c r="A56" s="243" t="e">
        <f t="shared" si="24"/>
        <v>#REF!</v>
      </c>
      <c r="B56" s="244" t="str">
        <f t="shared" si="24"/>
        <v>C</v>
      </c>
      <c r="C56" s="245" t="e">
        <f t="shared" si="24"/>
        <v>#REF!</v>
      </c>
      <c r="D56" s="245" t="str">
        <f t="shared" si="24"/>
        <v>Conductor</v>
      </c>
      <c r="E56" s="246" t="e">
        <f t="shared" si="25"/>
        <v>#REF!</v>
      </c>
      <c r="F56" s="245"/>
      <c r="G56" s="245"/>
      <c r="H56" s="245" t="e">
        <f t="shared" si="22"/>
        <v>#REF!</v>
      </c>
      <c r="I56" s="247" t="e">
        <f t="shared" si="23"/>
        <v>#REF!</v>
      </c>
      <c r="J56" s="293">
        <v>0</v>
      </c>
      <c r="K56" s="321" t="str">
        <f t="shared" si="26"/>
        <v>2</v>
      </c>
      <c r="R56" s="193"/>
      <c r="S56" s="193"/>
      <c r="T56" s="193"/>
      <c r="U56" s="193"/>
      <c r="V56" s="193"/>
      <c r="W56" s="193"/>
      <c r="X56" s="193"/>
      <c r="Y56" s="193"/>
      <c r="Z56" s="193"/>
      <c r="AA56" s="279"/>
      <c r="AB56" s="193"/>
      <c r="AC56" s="193"/>
      <c r="AD56" s="193"/>
      <c r="AE56" s="193"/>
      <c r="AF56" s="193"/>
      <c r="AG56" s="193"/>
      <c r="AH56" s="193"/>
      <c r="AI56" s="193"/>
      <c r="AJ56" s="193"/>
      <c r="AK56" s="193"/>
      <c r="AL56" s="193"/>
      <c r="AM56" s="193"/>
      <c r="AN56" s="193"/>
      <c r="AO56" s="193"/>
      <c r="AP56" s="193"/>
      <c r="AQ56" s="193"/>
      <c r="AR56" s="193"/>
      <c r="AS56" s="193"/>
      <c r="AT56" s="193"/>
      <c r="AU56" s="193"/>
      <c r="AV56" s="193"/>
      <c r="AW56" s="193"/>
      <c r="AX56" s="193"/>
      <c r="AY56" s="193"/>
      <c r="AZ56" s="193"/>
      <c r="BA56" s="193"/>
      <c r="BB56" s="193"/>
      <c r="BC56" s="193"/>
      <c r="BD56" s="193"/>
    </row>
    <row r="57" spans="1:56" x14ac:dyDescent="0.2">
      <c r="A57" s="243" t="e">
        <f t="shared" si="24"/>
        <v>#REF!</v>
      </c>
      <c r="B57" s="244" t="str">
        <f t="shared" si="24"/>
        <v>C</v>
      </c>
      <c r="C57" s="245" t="e">
        <f t="shared" si="24"/>
        <v>#REF!</v>
      </c>
      <c r="D57" s="245" t="str">
        <f t="shared" si="24"/>
        <v xml:space="preserve">Profesional Universitario </v>
      </c>
      <c r="E57" s="246" t="e">
        <f t="shared" si="25"/>
        <v>#REF!</v>
      </c>
      <c r="F57" s="245"/>
      <c r="G57" s="245"/>
      <c r="H57" s="245" t="e">
        <f t="shared" si="22"/>
        <v>#REF!</v>
      </c>
      <c r="I57" s="247" t="e">
        <f t="shared" si="23"/>
        <v>#REF!</v>
      </c>
      <c r="J57" s="293">
        <v>0</v>
      </c>
      <c r="K57" s="321" t="str">
        <f t="shared" si="26"/>
        <v>2</v>
      </c>
      <c r="R57" s="193"/>
      <c r="S57" s="193"/>
      <c r="T57" s="193"/>
      <c r="U57" s="193"/>
      <c r="V57" s="193"/>
      <c r="W57" s="193"/>
      <c r="X57" s="193"/>
      <c r="Y57" s="193"/>
      <c r="Z57" s="193"/>
      <c r="AA57" s="279"/>
      <c r="AB57" s="193"/>
      <c r="AC57" s="193"/>
      <c r="AD57" s="193"/>
      <c r="AE57" s="193"/>
      <c r="AF57" s="193"/>
      <c r="AG57" s="193"/>
      <c r="AH57" s="193"/>
      <c r="AI57" s="193"/>
      <c r="AJ57" s="193"/>
      <c r="AK57" s="193"/>
      <c r="AL57" s="193"/>
      <c r="AM57" s="193"/>
      <c r="AN57" s="193"/>
      <c r="AO57" s="193"/>
      <c r="AP57" s="193"/>
      <c r="AQ57" s="193"/>
      <c r="AR57" s="193"/>
      <c r="AS57" s="193"/>
      <c r="AT57" s="193"/>
      <c r="AU57" s="193"/>
      <c r="AV57" s="193"/>
      <c r="AW57" s="193"/>
      <c r="AX57" s="193"/>
      <c r="AY57" s="193"/>
      <c r="AZ57" s="193"/>
      <c r="BA57" s="193"/>
      <c r="BB57" s="193"/>
      <c r="BC57" s="193"/>
      <c r="BD57" s="193"/>
    </row>
    <row r="58" spans="1:56" x14ac:dyDescent="0.2">
      <c r="A58" s="243" t="e">
        <f t="shared" si="24"/>
        <v>#REF!</v>
      </c>
      <c r="B58" s="244" t="str">
        <f t="shared" si="24"/>
        <v>C</v>
      </c>
      <c r="C58" s="245" t="e">
        <f t="shared" si="24"/>
        <v>#REF!</v>
      </c>
      <c r="D58" s="245" t="str">
        <f t="shared" si="24"/>
        <v>Profesional Especializado</v>
      </c>
      <c r="E58" s="246" t="e">
        <f t="shared" si="25"/>
        <v>#REF!</v>
      </c>
      <c r="F58" s="368"/>
      <c r="G58" s="368"/>
      <c r="H58" s="245" t="e">
        <f t="shared" si="22"/>
        <v>#REF!</v>
      </c>
      <c r="I58" s="247" t="e">
        <f t="shared" si="23"/>
        <v>#REF!</v>
      </c>
      <c r="J58" s="293">
        <v>1.4800000000000001E-2</v>
      </c>
      <c r="K58" s="321" t="str">
        <f t="shared" si="26"/>
        <v>2</v>
      </c>
      <c r="R58" s="193"/>
      <c r="S58" s="193"/>
      <c r="T58" s="193"/>
      <c r="U58" s="193"/>
      <c r="V58" s="193"/>
      <c r="W58" s="193"/>
      <c r="X58" s="193"/>
      <c r="Y58" s="193"/>
      <c r="Z58" s="193"/>
      <c r="AA58" s="279"/>
      <c r="AB58" s="193"/>
      <c r="AC58" s="193"/>
      <c r="AD58" s="193"/>
      <c r="AE58" s="193"/>
      <c r="AF58" s="193"/>
      <c r="AG58" s="193"/>
      <c r="AH58" s="193"/>
      <c r="AI58" s="193"/>
      <c r="AJ58" s="193"/>
      <c r="AK58" s="193"/>
      <c r="AL58" s="193"/>
      <c r="AM58" s="193"/>
      <c r="AN58" s="193"/>
      <c r="AO58" s="193"/>
      <c r="AP58" s="193"/>
      <c r="AQ58" s="193"/>
      <c r="AR58" s="193"/>
      <c r="AS58" s="193"/>
      <c r="AT58" s="193"/>
      <c r="AU58" s="193"/>
      <c r="AV58" s="193"/>
      <c r="AW58" s="193"/>
      <c r="AX58" s="193"/>
      <c r="AY58" s="193"/>
      <c r="AZ58" s="193"/>
      <c r="BA58" s="193"/>
      <c r="BB58" s="193"/>
      <c r="BC58" s="193"/>
      <c r="BD58" s="193"/>
    </row>
    <row r="59" spans="1:56" x14ac:dyDescent="0.2">
      <c r="A59" s="243" t="e">
        <f t="shared" si="24"/>
        <v>#REF!</v>
      </c>
      <c r="B59" s="244" t="str">
        <f t="shared" si="24"/>
        <v>C</v>
      </c>
      <c r="C59" s="245" t="e">
        <f t="shared" si="24"/>
        <v>#REF!</v>
      </c>
      <c r="D59" s="245" t="str">
        <f t="shared" si="24"/>
        <v>Asesor</v>
      </c>
      <c r="E59" s="246" t="e">
        <f t="shared" si="25"/>
        <v>#REF!</v>
      </c>
      <c r="F59" s="245"/>
      <c r="G59" s="245"/>
      <c r="H59" s="245" t="e">
        <f t="shared" si="22"/>
        <v>#REF!</v>
      </c>
      <c r="I59" s="247" t="e">
        <f t="shared" si="23"/>
        <v>#REF!</v>
      </c>
      <c r="J59" s="293">
        <v>7.8399999999999997E-2</v>
      </c>
      <c r="K59" s="321" t="str">
        <f t="shared" si="26"/>
        <v>2</v>
      </c>
      <c r="R59" s="193"/>
      <c r="S59" s="193"/>
      <c r="T59" s="193"/>
      <c r="U59" s="193"/>
      <c r="V59" s="193"/>
      <c r="W59" s="193"/>
      <c r="X59" s="193"/>
      <c r="Y59" s="193"/>
      <c r="Z59" s="193"/>
      <c r="AA59" s="193"/>
      <c r="AB59" s="193"/>
      <c r="AC59" s="193"/>
      <c r="AD59" s="193"/>
      <c r="AE59" s="193"/>
      <c r="AF59" s="193"/>
      <c r="AG59" s="193"/>
      <c r="AH59" s="193"/>
      <c r="AI59" s="193"/>
      <c r="AJ59" s="193"/>
      <c r="AK59" s="193"/>
      <c r="AL59" s="193"/>
      <c r="AM59" s="193"/>
      <c r="AN59" s="193"/>
      <c r="AO59" s="193"/>
      <c r="AP59" s="193"/>
      <c r="AQ59" s="193"/>
      <c r="AR59" s="193"/>
      <c r="AS59" s="193"/>
      <c r="AT59" s="193"/>
      <c r="AU59" s="193"/>
      <c r="AV59" s="193"/>
      <c r="AW59" s="193"/>
      <c r="AX59" s="193"/>
      <c r="AY59" s="193"/>
      <c r="AZ59" s="193"/>
      <c r="BA59" s="193"/>
      <c r="BB59" s="193"/>
      <c r="BC59" s="193"/>
      <c r="BD59" s="193"/>
    </row>
    <row r="60" spans="1:56" x14ac:dyDescent="0.2">
      <c r="A60" s="243" t="e">
        <f t="shared" si="24"/>
        <v>#REF!</v>
      </c>
      <c r="B60" s="244" t="str">
        <f t="shared" si="24"/>
        <v>C</v>
      </c>
      <c r="C60" s="245" t="e">
        <f t="shared" si="24"/>
        <v>#REF!</v>
      </c>
      <c r="D60" s="245" t="str">
        <f t="shared" si="24"/>
        <v>Técnico Administrativo</v>
      </c>
      <c r="E60" s="246" t="e">
        <f t="shared" si="25"/>
        <v>#REF!</v>
      </c>
      <c r="F60" s="245"/>
      <c r="G60" s="245"/>
      <c r="H60" s="245" t="e">
        <f t="shared" si="22"/>
        <v>#REF!</v>
      </c>
      <c r="I60" s="247" t="e">
        <f t="shared" si="23"/>
        <v>#REF!</v>
      </c>
      <c r="J60" s="293">
        <v>0</v>
      </c>
      <c r="K60" s="321" t="str">
        <f t="shared" si="26"/>
        <v>2</v>
      </c>
      <c r="R60" s="193"/>
      <c r="S60" s="193"/>
      <c r="T60" s="193"/>
      <c r="U60" s="193"/>
      <c r="V60" s="193"/>
      <c r="W60" s="193"/>
      <c r="X60" s="193"/>
      <c r="Y60" s="193"/>
      <c r="Z60" s="193"/>
      <c r="AA60" s="193"/>
      <c r="AB60" s="193"/>
      <c r="AC60" s="193"/>
      <c r="AD60" s="193"/>
      <c r="AE60" s="193"/>
      <c r="AF60" s="193"/>
      <c r="AG60" s="193"/>
      <c r="AH60" s="193"/>
      <c r="AI60" s="193"/>
      <c r="AJ60" s="193"/>
      <c r="AK60" s="193"/>
      <c r="AL60" s="193"/>
      <c r="AM60" s="193"/>
      <c r="AN60" s="193"/>
      <c r="AO60" s="193"/>
      <c r="AP60" s="193"/>
      <c r="AQ60" s="193"/>
      <c r="AR60" s="193"/>
      <c r="AS60" s="193"/>
      <c r="AT60" s="193"/>
      <c r="AU60" s="193"/>
      <c r="AV60" s="193"/>
      <c r="AW60" s="193"/>
      <c r="AX60" s="193"/>
      <c r="AY60" s="193"/>
      <c r="AZ60" s="193"/>
      <c r="BA60" s="193"/>
      <c r="BB60" s="193"/>
      <c r="BC60" s="193"/>
      <c r="BD60" s="193"/>
    </row>
    <row r="61" spans="1:56" x14ac:dyDescent="0.2">
      <c r="A61" s="243" t="e">
        <f t="shared" si="24"/>
        <v>#REF!</v>
      </c>
      <c r="B61" s="244" t="str">
        <f t="shared" si="24"/>
        <v>C</v>
      </c>
      <c r="C61" s="245" t="e">
        <f t="shared" si="24"/>
        <v>#REF!</v>
      </c>
      <c r="D61" s="245" t="str">
        <f t="shared" si="24"/>
        <v>Subdirector Técnico</v>
      </c>
      <c r="E61" s="246" t="e">
        <f t="shared" si="25"/>
        <v>#REF!</v>
      </c>
      <c r="F61" s="245"/>
      <c r="G61" s="245"/>
      <c r="H61" s="245" t="e">
        <f t="shared" si="22"/>
        <v>#REF!</v>
      </c>
      <c r="I61" s="247" t="e">
        <f t="shared" si="23"/>
        <v>#REF!</v>
      </c>
      <c r="J61" s="293">
        <v>2.69E-2</v>
      </c>
      <c r="K61" s="321" t="str">
        <f t="shared" si="26"/>
        <v>2</v>
      </c>
      <c r="R61" s="193"/>
      <c r="S61" s="193"/>
      <c r="T61" s="193"/>
      <c r="U61" s="193"/>
      <c r="V61" s="193"/>
      <c r="W61" s="193"/>
      <c r="X61" s="193"/>
      <c r="Y61" s="193"/>
      <c r="Z61" s="193"/>
      <c r="AA61" s="193"/>
      <c r="AB61" s="193"/>
      <c r="AC61" s="193"/>
      <c r="AD61" s="193"/>
      <c r="AE61" s="193"/>
      <c r="AF61" s="193"/>
      <c r="AG61" s="193"/>
      <c r="AH61" s="193"/>
      <c r="AI61" s="193"/>
      <c r="AJ61" s="193"/>
      <c r="AK61" s="193"/>
      <c r="AL61" s="193"/>
      <c r="AM61" s="193"/>
      <c r="AN61" s="193"/>
      <c r="AO61" s="193"/>
      <c r="AP61" s="193"/>
      <c r="AQ61" s="193"/>
      <c r="AR61" s="193"/>
      <c r="AS61" s="193"/>
      <c r="AT61" s="193"/>
      <c r="AU61" s="193"/>
      <c r="AV61" s="193"/>
      <c r="AW61" s="193"/>
      <c r="AX61" s="193"/>
      <c r="AY61" s="193"/>
      <c r="AZ61" s="193"/>
      <c r="BA61" s="193"/>
      <c r="BB61" s="193"/>
      <c r="BC61" s="193"/>
      <c r="BD61" s="193"/>
    </row>
    <row r="62" spans="1:56" x14ac:dyDescent="0.2">
      <c r="A62" s="243" t="e">
        <f t="shared" si="24"/>
        <v>#REF!</v>
      </c>
      <c r="B62" s="244" t="str">
        <f t="shared" si="24"/>
        <v>C</v>
      </c>
      <c r="C62" s="245" t="e">
        <f t="shared" si="24"/>
        <v>#REF!</v>
      </c>
      <c r="D62" s="245" t="str">
        <f t="shared" si="24"/>
        <v>Profesional Especializado</v>
      </c>
      <c r="E62" s="246" t="e">
        <f t="shared" si="25"/>
        <v>#REF!</v>
      </c>
      <c r="F62" s="245"/>
      <c r="G62" s="245"/>
      <c r="H62" s="245" t="e">
        <f t="shared" si="22"/>
        <v>#REF!</v>
      </c>
      <c r="I62" s="247" t="e">
        <f t="shared" si="23"/>
        <v>#REF!</v>
      </c>
      <c r="J62" s="293">
        <v>3.2199999999999999E-2</v>
      </c>
      <c r="K62" s="321" t="str">
        <f t="shared" si="26"/>
        <v>2</v>
      </c>
      <c r="R62" s="193"/>
      <c r="S62" s="193"/>
      <c r="T62" s="193"/>
      <c r="U62" s="193"/>
      <c r="V62" s="193"/>
      <c r="W62" s="193"/>
      <c r="X62" s="193"/>
      <c r="Y62" s="193"/>
      <c r="Z62" s="193"/>
      <c r="AA62" s="193"/>
      <c r="AB62" s="193"/>
      <c r="AC62" s="193"/>
      <c r="AD62" s="193"/>
      <c r="AE62" s="193"/>
      <c r="AF62" s="193"/>
      <c r="AG62" s="193"/>
      <c r="AH62" s="193"/>
      <c r="AI62" s="193"/>
      <c r="AJ62" s="193"/>
      <c r="AK62" s="193"/>
      <c r="AL62" s="193"/>
      <c r="AM62" s="193"/>
      <c r="AN62" s="193"/>
      <c r="AO62" s="193"/>
      <c r="AP62" s="193"/>
      <c r="AQ62" s="193"/>
      <c r="AR62" s="193"/>
      <c r="AS62" s="193"/>
      <c r="AT62" s="193"/>
      <c r="AU62" s="193"/>
      <c r="AV62" s="193"/>
      <c r="AW62" s="193"/>
      <c r="AX62" s="193"/>
      <c r="AY62" s="193"/>
      <c r="AZ62" s="193"/>
      <c r="BA62" s="193"/>
      <c r="BB62" s="193"/>
      <c r="BC62" s="193"/>
      <c r="BD62" s="193"/>
    </row>
    <row r="63" spans="1:56" x14ac:dyDescent="0.2">
      <c r="A63" s="243" t="e">
        <f t="shared" si="24"/>
        <v>#REF!</v>
      </c>
      <c r="B63" s="244" t="str">
        <f t="shared" si="24"/>
        <v>C</v>
      </c>
      <c r="C63" s="245" t="e">
        <f t="shared" si="24"/>
        <v>#REF!</v>
      </c>
      <c r="D63" s="245" t="str">
        <f t="shared" si="24"/>
        <v>Profesional Especializado</v>
      </c>
      <c r="E63" s="246" t="e">
        <f t="shared" si="25"/>
        <v>#REF!</v>
      </c>
      <c r="F63" s="245"/>
      <c r="G63" s="245"/>
      <c r="H63" s="245" t="e">
        <f t="shared" si="22"/>
        <v>#REF!</v>
      </c>
      <c r="I63" s="247" t="e">
        <f t="shared" si="23"/>
        <v>#REF!</v>
      </c>
      <c r="J63" s="293">
        <v>4.3700000000000003E-2</v>
      </c>
      <c r="K63" s="321" t="str">
        <f t="shared" si="26"/>
        <v>2</v>
      </c>
      <c r="R63" s="193"/>
      <c r="S63" s="193"/>
      <c r="T63" s="193"/>
      <c r="U63" s="193"/>
      <c r="V63" s="193"/>
      <c r="W63" s="193"/>
      <c r="X63" s="193"/>
      <c r="Y63" s="193"/>
      <c r="Z63" s="193"/>
      <c r="AA63" s="193"/>
      <c r="AB63" s="193"/>
      <c r="AC63" s="193"/>
      <c r="AD63" s="193"/>
      <c r="AE63" s="193"/>
      <c r="AF63" s="193"/>
      <c r="AG63" s="193"/>
      <c r="AH63" s="193"/>
      <c r="AI63" s="193"/>
      <c r="AJ63" s="193"/>
      <c r="AK63" s="193"/>
      <c r="AL63" s="193"/>
      <c r="AM63" s="193"/>
      <c r="AN63" s="193"/>
      <c r="AO63" s="193"/>
      <c r="AP63" s="193"/>
      <c r="AQ63" s="193"/>
      <c r="AR63" s="193"/>
      <c r="AS63" s="193"/>
      <c r="AT63" s="193"/>
      <c r="AU63" s="193"/>
      <c r="AV63" s="193"/>
      <c r="AW63" s="193"/>
      <c r="AX63" s="193"/>
      <c r="AY63" s="193"/>
      <c r="AZ63" s="193"/>
      <c r="BA63" s="193"/>
      <c r="BB63" s="193"/>
      <c r="BC63" s="193"/>
      <c r="BD63" s="193"/>
    </row>
    <row r="64" spans="1:56" x14ac:dyDescent="0.2">
      <c r="A64" s="243" t="e">
        <f t="shared" si="24"/>
        <v>#REF!</v>
      </c>
      <c r="B64" s="244" t="str">
        <f t="shared" si="24"/>
        <v>C</v>
      </c>
      <c r="C64" s="245" t="e">
        <f t="shared" si="24"/>
        <v>#REF!</v>
      </c>
      <c r="D64" s="245" t="str">
        <f t="shared" si="24"/>
        <v>Profesional Especializado</v>
      </c>
      <c r="E64" s="246" t="e">
        <f t="shared" si="25"/>
        <v>#REF!</v>
      </c>
      <c r="F64" s="245"/>
      <c r="G64" s="245"/>
      <c r="H64" s="245" t="e">
        <f t="shared" si="22"/>
        <v>#REF!</v>
      </c>
      <c r="I64" s="247" t="e">
        <f t="shared" si="23"/>
        <v>#REF!</v>
      </c>
      <c r="J64" s="293">
        <v>4.2900000000000001E-2</v>
      </c>
      <c r="K64" s="321" t="str">
        <f t="shared" si="26"/>
        <v>2</v>
      </c>
      <c r="R64" s="193"/>
      <c r="S64" s="193"/>
      <c r="T64" s="193"/>
      <c r="U64" s="193"/>
      <c r="V64" s="285"/>
      <c r="W64" s="193"/>
      <c r="X64" s="193"/>
      <c r="Y64" s="193"/>
      <c r="Z64" s="193"/>
      <c r="AA64" s="193"/>
      <c r="AB64" s="193"/>
      <c r="AC64" s="193"/>
      <c r="AD64" s="193"/>
      <c r="AE64" s="193"/>
      <c r="AF64" s="193"/>
      <c r="AG64" s="193"/>
      <c r="AH64" s="193"/>
      <c r="AI64" s="193"/>
      <c r="AJ64" s="193"/>
      <c r="AK64" s="193"/>
      <c r="AL64" s="193"/>
      <c r="AM64" s="193"/>
      <c r="AN64" s="193"/>
      <c r="AO64" s="193"/>
      <c r="AP64" s="193"/>
      <c r="AQ64" s="193"/>
      <c r="AR64" s="193"/>
      <c r="AS64" s="193"/>
      <c r="AT64" s="193"/>
      <c r="AU64" s="193"/>
      <c r="AV64" s="193"/>
      <c r="AW64" s="193"/>
      <c r="AX64" s="193"/>
      <c r="AY64" s="193"/>
      <c r="AZ64" s="193"/>
      <c r="BA64" s="193"/>
      <c r="BB64" s="193"/>
      <c r="BC64" s="193"/>
      <c r="BD64" s="193"/>
    </row>
    <row r="65" spans="1:57" x14ac:dyDescent="0.2">
      <c r="A65" s="243" t="e">
        <f t="shared" si="24"/>
        <v>#REF!</v>
      </c>
      <c r="B65" s="244" t="str">
        <f t="shared" si="24"/>
        <v>C</v>
      </c>
      <c r="C65" s="245" t="e">
        <f t="shared" si="24"/>
        <v>#REF!</v>
      </c>
      <c r="D65" s="245" t="str">
        <f t="shared" si="24"/>
        <v>Profesional Especializado</v>
      </c>
      <c r="E65" s="246" t="e">
        <f t="shared" si="25"/>
        <v>#REF!</v>
      </c>
      <c r="F65" s="245"/>
      <c r="G65" s="245"/>
      <c r="H65" s="245" t="e">
        <f t="shared" si="22"/>
        <v>#REF!</v>
      </c>
      <c r="I65" s="247" t="e">
        <f t="shared" si="23"/>
        <v>#REF!</v>
      </c>
      <c r="J65" s="293">
        <v>2.7E-2</v>
      </c>
      <c r="K65" s="321" t="str">
        <f t="shared" si="26"/>
        <v>2</v>
      </c>
      <c r="R65" s="193"/>
      <c r="S65" s="193"/>
      <c r="T65" s="193"/>
      <c r="U65" s="193"/>
      <c r="V65" s="193"/>
      <c r="W65" s="193"/>
      <c r="X65" s="193"/>
      <c r="Y65" s="193"/>
      <c r="Z65" s="193"/>
      <c r="AA65" s="193"/>
      <c r="AB65" s="193"/>
      <c r="AC65" s="193"/>
      <c r="AD65" s="193"/>
      <c r="AE65" s="193"/>
      <c r="AF65" s="193"/>
      <c r="AG65" s="193"/>
      <c r="AH65" s="193"/>
      <c r="AI65" s="193"/>
      <c r="AJ65" s="193"/>
      <c r="AK65" s="193"/>
      <c r="AL65" s="193"/>
      <c r="AM65" s="193"/>
      <c r="AN65" s="193"/>
      <c r="AO65" s="193"/>
      <c r="AP65" s="193"/>
      <c r="AQ65" s="193"/>
      <c r="AR65" s="193"/>
      <c r="AS65" s="193"/>
      <c r="AT65" s="193"/>
      <c r="AU65" s="193"/>
      <c r="AV65" s="193"/>
      <c r="AW65" s="193"/>
      <c r="AX65" s="193"/>
      <c r="AY65" s="193"/>
      <c r="AZ65" s="193"/>
      <c r="BA65" s="193"/>
      <c r="BB65" s="193"/>
      <c r="BC65" s="193"/>
      <c r="BD65" s="193"/>
    </row>
    <row r="66" spans="1:57" x14ac:dyDescent="0.2">
      <c r="A66" s="243" t="e">
        <f t="shared" si="24"/>
        <v>#REF!</v>
      </c>
      <c r="B66" s="244" t="str">
        <f t="shared" si="24"/>
        <v>C</v>
      </c>
      <c r="C66" s="245" t="e">
        <f t="shared" si="24"/>
        <v>#REF!</v>
      </c>
      <c r="D66" s="245" t="str">
        <f t="shared" si="24"/>
        <v>Profesional Especializado</v>
      </c>
      <c r="E66" s="246" t="e">
        <f t="shared" si="25"/>
        <v>#REF!</v>
      </c>
      <c r="F66" s="245"/>
      <c r="G66" s="245"/>
      <c r="H66" s="245" t="e">
        <f t="shared" si="22"/>
        <v>#REF!</v>
      </c>
      <c r="I66" s="247" t="e">
        <f t="shared" si="23"/>
        <v>#REF!</v>
      </c>
      <c r="J66" s="293">
        <v>0</v>
      </c>
      <c r="K66" s="321" t="str">
        <f t="shared" si="26"/>
        <v>2</v>
      </c>
      <c r="R66" s="193"/>
      <c r="S66" s="193"/>
      <c r="T66" s="193"/>
      <c r="U66" s="193"/>
      <c r="V66" s="193"/>
      <c r="W66" s="193"/>
      <c r="X66" s="193"/>
      <c r="Y66" s="193"/>
      <c r="Z66" s="193"/>
      <c r="AA66" s="193"/>
      <c r="AB66" s="193"/>
      <c r="AC66" s="193"/>
      <c r="AD66" s="193"/>
      <c r="AE66" s="193"/>
      <c r="AF66" s="193"/>
      <c r="AG66" s="193"/>
      <c r="AH66" s="193"/>
      <c r="AI66" s="193"/>
      <c r="AJ66" s="193"/>
      <c r="AK66" s="193"/>
      <c r="AL66" s="193"/>
      <c r="AM66" s="193"/>
      <c r="AN66" s="193"/>
      <c r="AO66" s="193"/>
      <c r="AP66" s="193"/>
      <c r="AQ66" s="193"/>
      <c r="AR66" s="193"/>
      <c r="AS66" s="193"/>
      <c r="AT66" s="193"/>
      <c r="AU66" s="193"/>
      <c r="AV66" s="193"/>
      <c r="AW66" s="193"/>
      <c r="AX66" s="193"/>
      <c r="AY66" s="193"/>
      <c r="AZ66" s="193"/>
      <c r="BA66" s="193"/>
      <c r="BB66" s="193"/>
      <c r="BC66" s="193"/>
      <c r="BD66" s="193"/>
    </row>
    <row r="67" spans="1:57" x14ac:dyDescent="0.2">
      <c r="A67" s="243" t="e">
        <f t="shared" si="24"/>
        <v>#REF!</v>
      </c>
      <c r="B67" s="244" t="str">
        <f t="shared" si="24"/>
        <v>C</v>
      </c>
      <c r="C67" s="245" t="e">
        <f t="shared" si="24"/>
        <v>#REF!</v>
      </c>
      <c r="D67" s="245" t="str">
        <f t="shared" si="24"/>
        <v>Asesor</v>
      </c>
      <c r="E67" s="246" t="e">
        <f t="shared" si="25"/>
        <v>#REF!</v>
      </c>
      <c r="F67" s="245"/>
      <c r="G67" s="245"/>
      <c r="H67" s="245" t="e">
        <f t="shared" si="22"/>
        <v>#REF!</v>
      </c>
      <c r="I67" s="247" t="e">
        <f t="shared" si="23"/>
        <v>#REF!</v>
      </c>
      <c r="J67" s="293">
        <v>4.24E-2</v>
      </c>
      <c r="K67" s="321" t="str">
        <f t="shared" si="26"/>
        <v>2</v>
      </c>
      <c r="R67" s="193"/>
      <c r="S67" s="193"/>
      <c r="T67" s="193"/>
      <c r="U67" s="193"/>
      <c r="V67" s="193"/>
      <c r="W67" s="193"/>
      <c r="X67" s="193"/>
      <c r="Y67" s="193"/>
      <c r="Z67" s="193"/>
      <c r="AA67" s="193"/>
      <c r="AB67" s="193"/>
      <c r="AC67" s="193"/>
      <c r="AD67" s="193"/>
      <c r="AE67" s="193"/>
      <c r="AF67" s="193"/>
      <c r="AG67" s="193"/>
      <c r="AH67" s="193"/>
      <c r="AI67" s="193"/>
      <c r="AJ67" s="193"/>
      <c r="AK67" s="193"/>
      <c r="AL67" s="193"/>
      <c r="AM67" s="193"/>
      <c r="AN67" s="193"/>
      <c r="AO67" s="193"/>
      <c r="AP67" s="193"/>
      <c r="AQ67" s="193"/>
      <c r="AR67" s="193"/>
      <c r="AS67" s="193"/>
      <c r="AT67" s="193"/>
      <c r="AU67" s="193"/>
      <c r="AV67" s="193"/>
      <c r="AW67" s="193"/>
      <c r="AX67" s="193"/>
      <c r="AY67" s="193"/>
      <c r="AZ67" s="193"/>
      <c r="BA67" s="193"/>
      <c r="BB67" s="193"/>
      <c r="BC67" s="193"/>
      <c r="BD67" s="193"/>
    </row>
    <row r="68" spans="1:57" x14ac:dyDescent="0.2">
      <c r="A68" s="243" t="e">
        <f t="shared" si="24"/>
        <v>#REF!</v>
      </c>
      <c r="B68" s="244" t="str">
        <f t="shared" si="24"/>
        <v>C</v>
      </c>
      <c r="C68" s="245" t="e">
        <f t="shared" si="24"/>
        <v>#REF!</v>
      </c>
      <c r="D68" s="245" t="str">
        <f t="shared" si="24"/>
        <v>Secretario Ejecutivo</v>
      </c>
      <c r="E68" s="246" t="e">
        <f t="shared" si="25"/>
        <v>#REF!</v>
      </c>
      <c r="F68" s="245"/>
      <c r="G68" s="245"/>
      <c r="H68" s="245" t="e">
        <f t="shared" si="22"/>
        <v>#REF!</v>
      </c>
      <c r="I68" s="247" t="e">
        <f t="shared" si="23"/>
        <v>#REF!</v>
      </c>
      <c r="J68" s="293">
        <v>4.8099999999999997E-2</v>
      </c>
      <c r="K68" s="321" t="str">
        <f t="shared" si="26"/>
        <v>2</v>
      </c>
      <c r="R68" s="193"/>
      <c r="S68" s="193"/>
      <c r="T68" s="193"/>
      <c r="U68" s="193"/>
      <c r="V68" s="193"/>
      <c r="W68" s="193"/>
      <c r="X68" s="193"/>
      <c r="Y68" s="193"/>
      <c r="Z68" s="193"/>
      <c r="AA68" s="193"/>
      <c r="AB68" s="193"/>
      <c r="AC68" s="193"/>
      <c r="AD68" s="193"/>
      <c r="AE68" s="193"/>
      <c r="AF68" s="193"/>
      <c r="AG68" s="193"/>
      <c r="AH68" s="193"/>
      <c r="AI68" s="193"/>
      <c r="AJ68" s="193"/>
      <c r="AK68" s="193"/>
      <c r="AL68" s="193"/>
      <c r="AM68" s="193"/>
      <c r="AN68" s="193"/>
      <c r="AO68" s="193"/>
      <c r="AP68" s="193"/>
      <c r="AQ68" s="193"/>
      <c r="AR68" s="193"/>
      <c r="AS68" s="193"/>
      <c r="AT68" s="193"/>
      <c r="AU68" s="193"/>
      <c r="AV68" s="193"/>
      <c r="AW68" s="193"/>
      <c r="AX68" s="193"/>
      <c r="AY68" s="193"/>
      <c r="AZ68" s="193"/>
      <c r="BA68" s="193"/>
      <c r="BB68" s="193"/>
      <c r="BC68" s="193"/>
      <c r="BD68" s="193"/>
    </row>
    <row r="69" spans="1:57" x14ac:dyDescent="0.2">
      <c r="A69" s="243" t="e">
        <f t="shared" si="24"/>
        <v>#REF!</v>
      </c>
      <c r="B69" s="244" t="str">
        <f t="shared" si="24"/>
        <v>C</v>
      </c>
      <c r="C69" s="245" t="e">
        <f t="shared" si="24"/>
        <v>#REF!</v>
      </c>
      <c r="D69" s="245" t="str">
        <f t="shared" si="24"/>
        <v>Profesional Especializado</v>
      </c>
      <c r="E69" s="246" t="e">
        <f t="shared" si="25"/>
        <v>#REF!</v>
      </c>
      <c r="F69" s="245"/>
      <c r="G69" s="245"/>
      <c r="H69" s="245" t="e">
        <f t="shared" si="22"/>
        <v>#REF!</v>
      </c>
      <c r="I69" s="247" t="e">
        <f>ROUND((H69*rangos),0-3)</f>
        <v>#REF!</v>
      </c>
      <c r="J69" s="293" t="e">
        <f>I69/E69</f>
        <v>#REF!</v>
      </c>
      <c r="K69" s="321" t="str">
        <f t="shared" si="26"/>
        <v>1</v>
      </c>
      <c r="R69" s="193"/>
      <c r="S69" s="193"/>
      <c r="T69" s="193"/>
      <c r="U69" s="193"/>
      <c r="V69" s="193"/>
      <c r="W69" s="193"/>
      <c r="X69" s="193"/>
      <c r="Y69" s="193"/>
      <c r="Z69" s="193"/>
      <c r="AA69" s="193"/>
      <c r="AB69" s="193"/>
      <c r="AC69" s="193"/>
      <c r="AD69" s="193"/>
      <c r="AE69" s="193"/>
      <c r="AF69" s="193"/>
      <c r="AG69" s="193"/>
      <c r="AH69" s="193"/>
      <c r="AI69" s="193"/>
      <c r="AJ69" s="193"/>
      <c r="AK69" s="193"/>
      <c r="AL69" s="193"/>
      <c r="AM69" s="193"/>
      <c r="AN69" s="193"/>
      <c r="AO69" s="193"/>
      <c r="AP69" s="193"/>
      <c r="AQ69" s="193"/>
      <c r="AR69" s="193"/>
      <c r="AS69" s="193"/>
      <c r="AT69" s="193"/>
      <c r="AU69" s="193"/>
      <c r="AV69" s="193"/>
      <c r="AW69" s="193"/>
      <c r="AX69" s="193"/>
      <c r="AY69" s="193"/>
      <c r="AZ69" s="193"/>
      <c r="BA69" s="193"/>
      <c r="BB69" s="193"/>
      <c r="BC69" s="193"/>
      <c r="BD69" s="193"/>
    </row>
    <row r="70" spans="1:57" x14ac:dyDescent="0.2">
      <c r="A70" s="243" t="e">
        <f t="shared" si="24"/>
        <v>#REF!</v>
      </c>
      <c r="B70" s="244" t="str">
        <f t="shared" si="24"/>
        <v>C</v>
      </c>
      <c r="C70" s="245" t="e">
        <f t="shared" si="24"/>
        <v>#REF!</v>
      </c>
      <c r="D70" s="245" t="str">
        <f t="shared" si="24"/>
        <v>Profesional Especializado</v>
      </c>
      <c r="E70" s="246" t="e">
        <f t="shared" si="25"/>
        <v>#REF!</v>
      </c>
      <c r="F70" s="245"/>
      <c r="G70" s="245"/>
      <c r="H70" s="245" t="e">
        <f t="shared" si="22"/>
        <v>#REF!</v>
      </c>
      <c r="I70" s="247" t="e">
        <f>ROUND((H70*rangos),0-3)</f>
        <v>#REF!</v>
      </c>
      <c r="J70" s="293" t="e">
        <f>I70/E70</f>
        <v>#REF!</v>
      </c>
      <c r="K70" s="321" t="str">
        <f t="shared" si="26"/>
        <v>1</v>
      </c>
      <c r="R70" s="193"/>
      <c r="S70" s="193"/>
      <c r="T70" s="193"/>
      <c r="U70" s="193"/>
      <c r="V70" s="193"/>
      <c r="W70" s="193"/>
      <c r="X70" s="193"/>
      <c r="Y70" s="193"/>
      <c r="Z70" s="193"/>
      <c r="AA70" s="193"/>
      <c r="AB70" s="193"/>
      <c r="AC70" s="193"/>
      <c r="AD70" s="193"/>
      <c r="AE70" s="193"/>
      <c r="AF70" s="193"/>
      <c r="AG70" s="193"/>
      <c r="AH70" s="193"/>
      <c r="AI70" s="193"/>
      <c r="AJ70" s="193"/>
      <c r="AK70" s="193"/>
      <c r="AL70" s="193"/>
      <c r="AM70" s="193"/>
      <c r="AN70" s="193"/>
      <c r="AO70" s="193"/>
      <c r="AP70" s="193"/>
      <c r="AQ70" s="193"/>
      <c r="AR70" s="193"/>
      <c r="AS70" s="193"/>
      <c r="AT70" s="193"/>
      <c r="AU70" s="193"/>
      <c r="AV70" s="193"/>
      <c r="AW70" s="193"/>
      <c r="AX70" s="193"/>
      <c r="AY70" s="193"/>
      <c r="AZ70" s="193"/>
      <c r="BA70" s="193"/>
      <c r="BB70" s="193"/>
      <c r="BC70" s="193"/>
      <c r="BD70" s="193"/>
    </row>
    <row r="71" spans="1:57" x14ac:dyDescent="0.2">
      <c r="A71" s="243" t="e">
        <f t="shared" si="24"/>
        <v>#REF!</v>
      </c>
      <c r="B71" s="244" t="str">
        <f t="shared" si="24"/>
        <v>C</v>
      </c>
      <c r="C71" s="245" t="e">
        <f t="shared" si="24"/>
        <v>#REF!</v>
      </c>
      <c r="D71" s="245" t="str">
        <f t="shared" si="24"/>
        <v>Secretario Ejecutivo</v>
      </c>
      <c r="E71" s="246" t="e">
        <f t="shared" si="25"/>
        <v>#REF!</v>
      </c>
      <c r="F71" s="245"/>
      <c r="G71" s="245"/>
      <c r="H71" s="245" t="e">
        <f t="shared" si="22"/>
        <v>#REF!</v>
      </c>
      <c r="I71" s="247" t="e">
        <f t="shared" si="23"/>
        <v>#REF!</v>
      </c>
      <c r="J71" s="293">
        <v>0</v>
      </c>
      <c r="K71" s="321" t="str">
        <f t="shared" si="26"/>
        <v>2</v>
      </c>
      <c r="R71" s="193"/>
      <c r="S71" s="193"/>
      <c r="T71" s="193"/>
      <c r="U71" s="193"/>
      <c r="V71" s="193"/>
      <c r="W71" s="193"/>
      <c r="X71" s="193"/>
      <c r="Y71" s="193"/>
      <c r="Z71" s="193"/>
      <c r="AA71" s="193"/>
      <c r="AB71" s="193"/>
      <c r="AC71" s="193"/>
      <c r="AD71" s="193"/>
      <c r="AE71" s="193"/>
      <c r="AF71" s="193"/>
      <c r="AG71" s="193"/>
      <c r="AH71" s="193"/>
      <c r="AI71" s="193"/>
      <c r="AJ71" s="193"/>
      <c r="AK71" s="193"/>
      <c r="AL71" s="193"/>
      <c r="AM71" s="193"/>
      <c r="AN71" s="193"/>
      <c r="AO71" s="193"/>
      <c r="AP71" s="193"/>
      <c r="AQ71" s="193"/>
      <c r="AR71" s="193"/>
      <c r="AS71" s="193"/>
      <c r="AT71" s="193"/>
      <c r="AU71" s="193"/>
      <c r="AV71" s="193"/>
      <c r="AW71" s="193"/>
      <c r="AX71" s="193"/>
      <c r="AY71" s="193"/>
      <c r="AZ71" s="193"/>
      <c r="BA71" s="193"/>
      <c r="BB71" s="193"/>
      <c r="BC71" s="193"/>
      <c r="BD71" s="193"/>
    </row>
    <row r="72" spans="1:57" x14ac:dyDescent="0.2">
      <c r="A72" s="243" t="e">
        <f t="shared" si="24"/>
        <v>#REF!</v>
      </c>
      <c r="B72" s="244" t="str">
        <f t="shared" si="24"/>
        <v>C</v>
      </c>
      <c r="C72" s="245" t="e">
        <f t="shared" si="24"/>
        <v>#REF!</v>
      </c>
      <c r="D72" s="245" t="str">
        <f t="shared" si="24"/>
        <v>Profesional Especializado</v>
      </c>
      <c r="E72" s="246" t="e">
        <f t="shared" si="25"/>
        <v>#REF!</v>
      </c>
      <c r="F72" s="245"/>
      <c r="G72" s="245"/>
      <c r="H72" s="245" t="e">
        <f t="shared" si="22"/>
        <v>#REF!</v>
      </c>
      <c r="I72" s="247" t="e">
        <f t="shared" si="23"/>
        <v>#REF!</v>
      </c>
      <c r="J72" s="293">
        <v>3.6700000000000003E-2</v>
      </c>
      <c r="K72" s="321" t="str">
        <f t="shared" si="26"/>
        <v>2</v>
      </c>
      <c r="R72" s="193"/>
      <c r="S72" s="193"/>
      <c r="T72" s="193"/>
      <c r="U72" s="193"/>
      <c r="V72" s="193"/>
      <c r="W72" s="193"/>
      <c r="X72" s="193"/>
      <c r="Y72" s="193"/>
      <c r="Z72" s="193"/>
      <c r="AA72" s="193"/>
      <c r="AB72" s="193"/>
      <c r="AC72" s="193"/>
      <c r="AD72" s="193"/>
      <c r="AE72" s="193"/>
      <c r="AF72" s="193"/>
      <c r="AG72" s="193"/>
      <c r="AH72" s="193"/>
      <c r="AI72" s="193"/>
      <c r="AJ72" s="193"/>
      <c r="AK72" s="193"/>
      <c r="AL72" s="193"/>
      <c r="AM72" s="193"/>
      <c r="AN72" s="193"/>
      <c r="AO72" s="193"/>
      <c r="AP72" s="193"/>
      <c r="AQ72" s="193"/>
      <c r="AR72" s="193"/>
      <c r="AS72" s="193"/>
      <c r="AT72" s="193"/>
      <c r="AU72" s="193"/>
      <c r="AV72" s="193"/>
      <c r="AW72" s="193"/>
      <c r="AX72" s="193"/>
      <c r="AY72" s="193"/>
      <c r="AZ72" s="193"/>
      <c r="BA72" s="193"/>
      <c r="BB72" s="193"/>
      <c r="BC72" s="193"/>
      <c r="BD72" s="193"/>
    </row>
    <row r="73" spans="1:57" x14ac:dyDescent="0.2">
      <c r="A73" s="243" t="e">
        <f t="shared" si="24"/>
        <v>#REF!</v>
      </c>
      <c r="B73" s="244" t="str">
        <f t="shared" si="24"/>
        <v>C</v>
      </c>
      <c r="C73" s="245" t="e">
        <f t="shared" si="24"/>
        <v>#REF!</v>
      </c>
      <c r="D73" s="245" t="str">
        <f t="shared" si="24"/>
        <v>Profesional Especializado</v>
      </c>
      <c r="E73" s="246" t="e">
        <f t="shared" si="25"/>
        <v>#REF!</v>
      </c>
      <c r="F73" s="245"/>
      <c r="G73" s="245"/>
      <c r="H73" s="245" t="e">
        <f t="shared" si="22"/>
        <v>#REF!</v>
      </c>
      <c r="I73" s="247" t="e">
        <f t="shared" si="23"/>
        <v>#REF!</v>
      </c>
      <c r="J73" s="293">
        <v>4.5600000000000002E-2</v>
      </c>
      <c r="K73" s="321" t="str">
        <f t="shared" si="26"/>
        <v>2</v>
      </c>
      <c r="R73" s="193"/>
      <c r="S73" s="193"/>
      <c r="T73" s="193"/>
      <c r="U73" s="193"/>
      <c r="V73" s="193"/>
      <c r="W73" s="193"/>
      <c r="X73" s="193"/>
      <c r="Y73" s="193"/>
      <c r="Z73" s="193"/>
      <c r="AA73" s="193"/>
      <c r="AB73" s="193"/>
      <c r="AC73" s="193"/>
      <c r="AD73" s="193"/>
      <c r="AE73" s="193"/>
      <c r="AF73" s="193"/>
      <c r="AG73" s="193"/>
      <c r="AH73" s="193"/>
      <c r="AI73" s="193"/>
      <c r="AJ73" s="193"/>
      <c r="AK73" s="193"/>
      <c r="AL73" s="193"/>
      <c r="AM73" s="193"/>
      <c r="AN73" s="193"/>
      <c r="AO73" s="193"/>
      <c r="AP73" s="193"/>
      <c r="AQ73" s="193"/>
      <c r="AR73" s="193"/>
      <c r="AS73" s="193"/>
      <c r="AT73" s="193"/>
      <c r="AU73" s="193"/>
      <c r="AV73" s="193"/>
      <c r="AW73" s="193"/>
      <c r="AX73" s="193"/>
      <c r="AY73" s="193"/>
      <c r="AZ73" s="193"/>
      <c r="BA73" s="193"/>
      <c r="BB73" s="193"/>
      <c r="BC73" s="193"/>
      <c r="BD73" s="193"/>
    </row>
    <row r="74" spans="1:57" x14ac:dyDescent="0.2">
      <c r="A74" s="243" t="e">
        <f t="shared" si="24"/>
        <v>#REF!</v>
      </c>
      <c r="B74" s="244" t="str">
        <f t="shared" si="24"/>
        <v>C</v>
      </c>
      <c r="C74" s="245" t="e">
        <f t="shared" si="24"/>
        <v>#REF!</v>
      </c>
      <c r="D74" s="245" t="str">
        <f t="shared" si="24"/>
        <v>Director General</v>
      </c>
      <c r="E74" s="246" t="e">
        <f t="shared" si="25"/>
        <v>#REF!</v>
      </c>
      <c r="F74" s="245"/>
      <c r="G74" s="245"/>
      <c r="H74" s="245" t="e">
        <f t="shared" si="22"/>
        <v>#REF!</v>
      </c>
      <c r="I74" s="247" t="e">
        <f>ROUND((H74*rangos),0-3)</f>
        <v>#REF!</v>
      </c>
      <c r="J74" s="293" t="e">
        <f>I74/E74</f>
        <v>#REF!</v>
      </c>
      <c r="K74" s="321" t="str">
        <f t="shared" si="26"/>
        <v>1</v>
      </c>
      <c r="R74" s="193"/>
      <c r="S74" s="193"/>
      <c r="T74" s="193"/>
      <c r="U74" s="193"/>
      <c r="V74" s="193"/>
      <c r="W74" s="193"/>
      <c r="X74" s="193"/>
      <c r="Y74" s="193"/>
      <c r="Z74" s="193"/>
      <c r="AA74" s="193"/>
      <c r="AB74" s="193"/>
      <c r="AC74" s="193"/>
      <c r="AD74" s="193"/>
      <c r="AE74" s="193"/>
      <c r="AF74" s="193"/>
      <c r="AG74" s="193"/>
      <c r="AH74" s="193"/>
      <c r="AI74" s="193"/>
      <c r="AJ74" s="193"/>
      <c r="AK74" s="193"/>
      <c r="AL74" s="193"/>
      <c r="AM74" s="193"/>
      <c r="AN74" s="193"/>
      <c r="AO74" s="193"/>
      <c r="AP74" s="193"/>
      <c r="AQ74" s="193"/>
      <c r="AR74" s="193"/>
      <c r="AS74" s="193"/>
      <c r="AT74" s="193"/>
      <c r="AU74" s="193"/>
      <c r="AV74" s="193"/>
      <c r="AW74" s="193"/>
      <c r="AX74" s="193"/>
      <c r="AY74" s="193"/>
      <c r="AZ74" s="193"/>
      <c r="BA74" s="193"/>
      <c r="BB74" s="193"/>
      <c r="BC74" s="193"/>
      <c r="BD74" s="193"/>
    </row>
    <row r="75" spans="1:57" x14ac:dyDescent="0.2">
      <c r="A75" s="243" t="e">
        <f t="shared" si="24"/>
        <v>#REF!</v>
      </c>
      <c r="B75" s="244" t="str">
        <f t="shared" si="24"/>
        <v>C</v>
      </c>
      <c r="C75" s="245" t="e">
        <f t="shared" si="24"/>
        <v>#REF!</v>
      </c>
      <c r="D75" s="245" t="str">
        <f t="shared" si="24"/>
        <v>Asesor</v>
      </c>
      <c r="E75" s="246" t="e">
        <f t="shared" si="25"/>
        <v>#REF!</v>
      </c>
      <c r="F75" s="245"/>
      <c r="G75" s="245"/>
      <c r="H75" s="245" t="e">
        <f t="shared" si="22"/>
        <v>#REF!</v>
      </c>
      <c r="I75" s="247" t="e">
        <f>ROUND((H75*rangos),0-3)</f>
        <v>#REF!</v>
      </c>
      <c r="J75" s="293" t="e">
        <f>I75/E75</f>
        <v>#REF!</v>
      </c>
      <c r="K75" s="321" t="str">
        <f t="shared" si="26"/>
        <v>1</v>
      </c>
      <c r="R75" s="193"/>
      <c r="S75" s="193"/>
      <c r="T75" s="193"/>
      <c r="U75" s="193"/>
      <c r="V75" s="193"/>
      <c r="W75" s="193"/>
      <c r="X75" s="193"/>
      <c r="Y75" s="193"/>
      <c r="Z75" s="193"/>
      <c r="AA75" s="193"/>
      <c r="AB75" s="193"/>
      <c r="AC75" s="193"/>
      <c r="AD75" s="193"/>
      <c r="AE75" s="193"/>
      <c r="AF75" s="193"/>
      <c r="AG75" s="193"/>
      <c r="AH75" s="193"/>
      <c r="AI75" s="193"/>
      <c r="AJ75" s="193"/>
      <c r="AK75" s="193"/>
      <c r="AL75" s="193"/>
      <c r="AM75" s="193"/>
      <c r="AN75" s="193"/>
      <c r="AO75" s="193"/>
      <c r="AP75" s="193"/>
      <c r="AQ75" s="193"/>
      <c r="AR75" s="193"/>
      <c r="AS75" s="193"/>
      <c r="AT75" s="193"/>
      <c r="AU75" s="193"/>
      <c r="AV75" s="193"/>
      <c r="AW75" s="193"/>
      <c r="AX75" s="193"/>
      <c r="AY75" s="193"/>
      <c r="AZ75" s="193"/>
      <c r="BA75" s="193"/>
      <c r="BB75" s="193"/>
      <c r="BC75" s="193"/>
      <c r="BD75" s="193"/>
    </row>
    <row r="76" spans="1:57" x14ac:dyDescent="0.2">
      <c r="A76" s="243" t="e">
        <f t="shared" si="24"/>
        <v>#REF!</v>
      </c>
      <c r="B76" s="244" t="str">
        <f t="shared" si="24"/>
        <v>C</v>
      </c>
      <c r="C76" s="245" t="e">
        <f t="shared" si="24"/>
        <v>#REF!</v>
      </c>
      <c r="D76" s="245" t="str">
        <f t="shared" si="24"/>
        <v xml:space="preserve">Auxiliar Administrativo </v>
      </c>
      <c r="E76" s="246" t="e">
        <f t="shared" si="25"/>
        <v>#REF!</v>
      </c>
      <c r="F76" s="245"/>
      <c r="G76" s="245"/>
      <c r="H76" s="245" t="e">
        <f t="shared" si="22"/>
        <v>#REF!</v>
      </c>
      <c r="I76" s="247" t="e">
        <f t="shared" si="23"/>
        <v>#REF!</v>
      </c>
      <c r="J76" s="293">
        <v>0</v>
      </c>
      <c r="K76" s="321" t="str">
        <f t="shared" si="26"/>
        <v>2</v>
      </c>
      <c r="R76" s="193"/>
      <c r="S76" s="193"/>
      <c r="T76" s="193"/>
      <c r="U76" s="193"/>
      <c r="V76" s="193"/>
      <c r="W76" s="193"/>
      <c r="X76" s="193"/>
      <c r="Y76" s="193"/>
      <c r="Z76" s="193"/>
      <c r="AA76" s="193"/>
      <c r="AB76" s="193"/>
      <c r="AC76" s="193"/>
      <c r="AD76" s="193"/>
      <c r="AE76" s="193"/>
      <c r="AF76" s="193"/>
      <c r="AG76" s="193"/>
      <c r="AH76" s="193"/>
      <c r="AI76" s="193"/>
      <c r="AJ76" s="193"/>
      <c r="AK76" s="193"/>
      <c r="AL76" s="193"/>
      <c r="AM76" s="193"/>
      <c r="AN76" s="193"/>
      <c r="AO76" s="193"/>
      <c r="AP76" s="193"/>
      <c r="AQ76" s="193"/>
      <c r="AR76" s="193"/>
      <c r="AS76" s="193"/>
      <c r="AT76" s="193"/>
      <c r="AU76" s="193"/>
      <c r="AV76" s="193"/>
      <c r="AW76" s="193"/>
      <c r="AX76" s="193"/>
      <c r="AY76" s="193"/>
      <c r="AZ76" s="193"/>
      <c r="BA76" s="193"/>
      <c r="BB76" s="193"/>
      <c r="BC76" s="193"/>
      <c r="BD76" s="193"/>
    </row>
    <row r="77" spans="1:57" x14ac:dyDescent="0.2">
      <c r="A77" s="243" t="e">
        <f t="shared" si="24"/>
        <v>#REF!</v>
      </c>
      <c r="B77" s="244" t="str">
        <f t="shared" si="24"/>
        <v>C</v>
      </c>
      <c r="C77" s="245" t="e">
        <f t="shared" si="24"/>
        <v>#REF!</v>
      </c>
      <c r="D77" s="245" t="str">
        <f t="shared" si="24"/>
        <v>Asesor</v>
      </c>
      <c r="E77" s="246" t="e">
        <f t="shared" si="25"/>
        <v>#REF!</v>
      </c>
      <c r="F77" s="245"/>
      <c r="G77" s="245"/>
      <c r="H77" s="245" t="e">
        <f t="shared" si="22"/>
        <v>#REF!</v>
      </c>
      <c r="I77" s="247" t="e">
        <f>ROUND((H77*rangos),0-3)</f>
        <v>#REF!</v>
      </c>
      <c r="J77" s="293" t="e">
        <f>I77/E77</f>
        <v>#REF!</v>
      </c>
      <c r="K77" s="321" t="str">
        <f t="shared" si="26"/>
        <v>1</v>
      </c>
      <c r="R77" s="193"/>
      <c r="S77" s="193"/>
      <c r="T77" s="193"/>
      <c r="U77" s="193"/>
      <c r="V77" s="193"/>
      <c r="W77" s="193"/>
      <c r="X77" s="193"/>
      <c r="Y77" s="193"/>
      <c r="Z77" s="193"/>
      <c r="AA77" s="193"/>
      <c r="AB77" s="193"/>
      <c r="AC77" s="193"/>
      <c r="AD77" s="193"/>
      <c r="AE77" s="193"/>
      <c r="AF77" s="193"/>
      <c r="AG77" s="193"/>
      <c r="AH77" s="193"/>
      <c r="AI77" s="193"/>
      <c r="AJ77" s="193"/>
      <c r="AK77" s="193"/>
      <c r="AL77" s="193"/>
      <c r="AM77" s="193"/>
      <c r="AN77" s="193"/>
      <c r="AO77" s="193"/>
      <c r="AP77" s="193"/>
      <c r="AQ77" s="193"/>
      <c r="AR77" s="193"/>
      <c r="AS77" s="193"/>
      <c r="AT77" s="193"/>
      <c r="AU77" s="193"/>
      <c r="AV77" s="193"/>
      <c r="AW77" s="193"/>
      <c r="AX77" s="193"/>
      <c r="AY77" s="193"/>
      <c r="AZ77" s="193"/>
      <c r="BA77" s="193"/>
      <c r="BB77" s="193"/>
      <c r="BC77" s="193"/>
      <c r="BD77" s="193"/>
    </row>
    <row r="78" spans="1:57" x14ac:dyDescent="0.2">
      <c r="A78" s="243" t="e">
        <f t="shared" si="24"/>
        <v>#REF!</v>
      </c>
      <c r="B78" s="244" t="str">
        <f t="shared" si="24"/>
        <v>C</v>
      </c>
      <c r="C78" s="245" t="e">
        <f t="shared" si="24"/>
        <v>#REF!</v>
      </c>
      <c r="D78" s="245" t="str">
        <f t="shared" si="24"/>
        <v>Técnico Administrativo</v>
      </c>
      <c r="E78" s="246" t="e">
        <f t="shared" si="25"/>
        <v>#REF!</v>
      </c>
      <c r="F78" s="245"/>
      <c r="G78" s="245"/>
      <c r="H78" s="245" t="e">
        <f t="shared" si="22"/>
        <v>#REF!</v>
      </c>
      <c r="I78" s="247" t="e">
        <f>ROUND((H78*rangos),0-3)</f>
        <v>#REF!</v>
      </c>
      <c r="J78" s="293" t="e">
        <f>I78/E78</f>
        <v>#REF!</v>
      </c>
      <c r="K78" s="321" t="str">
        <f t="shared" si="26"/>
        <v>1</v>
      </c>
      <c r="R78" s="193"/>
      <c r="S78" s="193"/>
      <c r="T78" s="193"/>
      <c r="U78" s="193"/>
      <c r="V78" s="193"/>
      <c r="W78" s="193"/>
      <c r="X78" s="193"/>
      <c r="Y78" s="193"/>
      <c r="Z78" s="193"/>
      <c r="AA78" s="193"/>
      <c r="AB78" s="193"/>
      <c r="AC78" s="193"/>
      <c r="AD78" s="193"/>
      <c r="AE78" s="193"/>
      <c r="AF78" s="193"/>
      <c r="AG78" s="193"/>
      <c r="AH78" s="193"/>
      <c r="AI78" s="193"/>
      <c r="AJ78" s="193"/>
      <c r="AK78" s="193"/>
      <c r="AL78" s="193"/>
      <c r="AM78" s="193"/>
      <c r="AN78" s="193"/>
      <c r="AO78" s="193"/>
      <c r="AP78" s="193"/>
      <c r="AQ78" s="193"/>
      <c r="AR78" s="193"/>
      <c r="AS78" s="193"/>
      <c r="AT78" s="193"/>
      <c r="AU78" s="193"/>
      <c r="AV78" s="193"/>
      <c r="AW78" s="193"/>
      <c r="AX78" s="193"/>
      <c r="AY78" s="193"/>
      <c r="AZ78" s="193"/>
      <c r="BA78" s="193"/>
      <c r="BB78" s="193"/>
      <c r="BC78" s="193"/>
      <c r="BD78" s="193"/>
    </row>
    <row r="79" spans="1:57" x14ac:dyDescent="0.2">
      <c r="A79" s="243" t="e">
        <f t="shared" si="24"/>
        <v>#REF!</v>
      </c>
      <c r="B79" s="244" t="str">
        <f t="shared" si="24"/>
        <v>C</v>
      </c>
      <c r="C79" s="245" t="e">
        <f t="shared" si="24"/>
        <v>#REF!</v>
      </c>
      <c r="D79" s="245" t="str">
        <f t="shared" si="24"/>
        <v>Subdirector Técnico</v>
      </c>
      <c r="E79" s="246" t="e">
        <f t="shared" si="25"/>
        <v>#REF!</v>
      </c>
      <c r="F79" s="245"/>
      <c r="G79" s="245"/>
      <c r="H79" s="245" t="e">
        <f t="shared" si="22"/>
        <v>#REF!</v>
      </c>
      <c r="I79" s="247" t="e">
        <f>ROUND((H79*rangos),0-3)</f>
        <v>#REF!</v>
      </c>
      <c r="J79" s="293" t="e">
        <f>I79/E79</f>
        <v>#REF!</v>
      </c>
      <c r="K79" s="321" t="str">
        <f t="shared" si="26"/>
        <v>1</v>
      </c>
      <c r="L79" s="193"/>
      <c r="M79" s="193"/>
      <c r="N79" s="193"/>
      <c r="O79" s="193"/>
      <c r="P79" s="193"/>
      <c r="Q79" s="193"/>
      <c r="R79" s="193"/>
      <c r="S79" s="193"/>
      <c r="T79" s="193"/>
      <c r="U79" s="193"/>
      <c r="V79" s="193"/>
      <c r="W79" s="193"/>
      <c r="X79" s="193"/>
      <c r="Y79" s="193"/>
      <c r="Z79" s="193"/>
      <c r="AA79" s="193"/>
      <c r="AB79" s="193"/>
      <c r="AC79" s="193"/>
      <c r="AD79" s="193"/>
      <c r="AE79" s="193"/>
      <c r="AF79" s="193"/>
      <c r="AG79" s="193"/>
      <c r="AH79" s="193"/>
      <c r="AI79" s="193"/>
      <c r="AJ79" s="193"/>
      <c r="AK79" s="193"/>
      <c r="AL79" s="193"/>
      <c r="AM79" s="193"/>
      <c r="AN79" s="193"/>
      <c r="AO79" s="193"/>
      <c r="AP79" s="193"/>
      <c r="AQ79" s="193"/>
      <c r="AR79" s="193"/>
      <c r="AS79" s="193"/>
      <c r="AT79" s="193"/>
      <c r="AU79" s="193"/>
      <c r="AV79" s="193"/>
      <c r="AW79" s="193"/>
      <c r="AX79" s="193"/>
      <c r="AY79" s="193"/>
      <c r="AZ79" s="193"/>
      <c r="BA79" s="193"/>
      <c r="BB79" s="193"/>
      <c r="BC79" s="193"/>
      <c r="BD79" s="193"/>
      <c r="BE79" s="193"/>
    </row>
    <row r="80" spans="1:57" x14ac:dyDescent="0.2">
      <c r="A80" s="279"/>
      <c r="B80" s="279"/>
      <c r="C80" s="275"/>
      <c r="D80" s="275"/>
      <c r="E80" s="292"/>
      <c r="F80" s="193"/>
      <c r="G80" s="193"/>
      <c r="H80" s="193"/>
      <c r="I80" s="285"/>
      <c r="J80" s="285"/>
      <c r="K80" s="285"/>
      <c r="L80" s="285"/>
      <c r="M80" s="193"/>
      <c r="N80" s="193"/>
      <c r="O80" s="193"/>
      <c r="P80" s="193"/>
      <c r="Q80" s="193"/>
      <c r="R80" s="193"/>
      <c r="S80" s="193"/>
      <c r="T80" s="193"/>
      <c r="U80" s="193"/>
      <c r="V80" s="193"/>
      <c r="W80" s="193"/>
      <c r="X80" s="193"/>
      <c r="Y80" s="193"/>
      <c r="Z80" s="193"/>
      <c r="AA80" s="193"/>
      <c r="AB80" s="193"/>
      <c r="AC80" s="193"/>
      <c r="AD80" s="193"/>
      <c r="AE80" s="193"/>
      <c r="AF80" s="193"/>
      <c r="AG80" s="193"/>
      <c r="AH80" s="193"/>
      <c r="AI80" s="193"/>
      <c r="AJ80" s="193"/>
      <c r="AK80" s="193"/>
      <c r="AL80" s="193"/>
      <c r="AM80" s="193"/>
      <c r="AN80" s="193"/>
      <c r="AO80" s="193"/>
      <c r="AP80" s="193"/>
      <c r="AQ80" s="193"/>
      <c r="AR80" s="193"/>
      <c r="AS80" s="193"/>
      <c r="AT80" s="193"/>
      <c r="AU80" s="193"/>
      <c r="AV80" s="193"/>
      <c r="AW80" s="193"/>
      <c r="AX80" s="193"/>
      <c r="AY80" s="193"/>
      <c r="AZ80" s="193"/>
      <c r="BA80" s="193"/>
      <c r="BB80" s="193"/>
      <c r="BC80" s="193"/>
      <c r="BD80" s="193"/>
      <c r="BE80" s="193"/>
    </row>
    <row r="81" spans="1:57" x14ac:dyDescent="0.2">
      <c r="A81" s="279"/>
      <c r="B81" s="279"/>
      <c r="C81" s="275"/>
      <c r="D81" s="275"/>
      <c r="E81" s="279"/>
      <c r="F81" s="287"/>
      <c r="G81" s="193"/>
      <c r="H81" s="193"/>
      <c r="I81" s="285"/>
      <c r="J81" s="285"/>
      <c r="K81" s="285"/>
      <c r="L81" s="193"/>
      <c r="M81" s="193"/>
      <c r="N81" s="193"/>
      <c r="O81" s="193"/>
      <c r="P81" s="193"/>
      <c r="Q81" s="193"/>
      <c r="R81" s="193"/>
      <c r="S81" s="193"/>
      <c r="T81" s="193"/>
      <c r="U81" s="193"/>
      <c r="V81" s="193"/>
      <c r="W81" s="193"/>
      <c r="X81" s="193"/>
      <c r="Y81" s="193"/>
      <c r="Z81" s="193"/>
      <c r="AA81" s="193"/>
      <c r="AB81" s="193"/>
      <c r="AC81" s="193"/>
      <c r="AD81" s="193"/>
      <c r="AE81" s="193"/>
      <c r="AF81" s="193"/>
      <c r="AG81" s="193"/>
      <c r="AH81" s="193"/>
      <c r="AI81" s="193"/>
      <c r="AJ81" s="193"/>
      <c r="AK81" s="193"/>
      <c r="AL81" s="193"/>
      <c r="AM81" s="193"/>
      <c r="AN81" s="193"/>
      <c r="AO81" s="193"/>
      <c r="AP81" s="193"/>
      <c r="AQ81" s="193"/>
      <c r="AR81" s="193"/>
      <c r="AS81" s="193"/>
      <c r="AT81" s="193"/>
      <c r="AU81" s="193"/>
      <c r="AV81" s="193"/>
      <c r="AW81" s="193"/>
      <c r="AX81" s="193"/>
      <c r="AY81" s="193"/>
      <c r="AZ81" s="193"/>
      <c r="BA81" s="193"/>
      <c r="BB81" s="193"/>
      <c r="BC81" s="193"/>
      <c r="BD81" s="193"/>
      <c r="BE81" s="193"/>
    </row>
    <row r="82" spans="1:57" x14ac:dyDescent="0.2">
      <c r="A82" s="279"/>
      <c r="B82" s="279"/>
      <c r="C82" s="275"/>
      <c r="D82" s="275"/>
      <c r="E82" s="193"/>
      <c r="F82" s="193"/>
      <c r="G82" s="193"/>
      <c r="H82" s="193"/>
      <c r="I82" s="285"/>
      <c r="J82" s="285"/>
      <c r="K82" s="285"/>
      <c r="L82" s="193"/>
      <c r="M82" s="193"/>
      <c r="N82" s="193"/>
      <c r="O82" s="193"/>
      <c r="P82" s="193"/>
      <c r="Q82" s="193"/>
      <c r="R82" s="193"/>
      <c r="S82" s="193"/>
      <c r="T82" s="193"/>
      <c r="U82" s="193"/>
      <c r="V82" s="193"/>
      <c r="W82" s="193"/>
      <c r="X82" s="193"/>
      <c r="Y82" s="193"/>
      <c r="Z82" s="193"/>
      <c r="AA82" s="193"/>
      <c r="AB82" s="193"/>
      <c r="AC82" s="193"/>
      <c r="AD82" s="193"/>
      <c r="AE82" s="193"/>
      <c r="AF82" s="193"/>
      <c r="AG82" s="193"/>
      <c r="AH82" s="193"/>
      <c r="AI82" s="193"/>
      <c r="AJ82" s="193"/>
      <c r="AK82" s="193"/>
      <c r="AL82" s="193"/>
      <c r="AM82" s="193"/>
      <c r="AN82" s="193"/>
      <c r="AO82" s="193"/>
      <c r="AP82" s="193"/>
      <c r="AQ82" s="193"/>
      <c r="AR82" s="193"/>
      <c r="AS82" s="193"/>
      <c r="AT82" s="193"/>
      <c r="AU82" s="193"/>
      <c r="AV82" s="193"/>
      <c r="AW82" s="193"/>
      <c r="AX82" s="193"/>
      <c r="AY82" s="193"/>
      <c r="AZ82" s="193"/>
      <c r="BA82" s="193"/>
      <c r="BB82" s="193"/>
      <c r="BC82" s="193"/>
      <c r="BD82" s="193"/>
      <c r="BE82" s="193"/>
    </row>
    <row r="83" spans="1:57" x14ac:dyDescent="0.2">
      <c r="A83" s="279"/>
      <c r="B83" s="279"/>
      <c r="C83" s="275"/>
      <c r="D83" s="275"/>
      <c r="E83" s="193"/>
      <c r="F83" s="193"/>
      <c r="G83" s="193"/>
      <c r="H83" s="193"/>
      <c r="I83" s="285"/>
      <c r="J83" s="285"/>
      <c r="K83" s="285"/>
      <c r="L83" s="193"/>
      <c r="M83" s="193"/>
      <c r="N83" s="193"/>
      <c r="O83" s="193"/>
      <c r="P83" s="193"/>
      <c r="Q83" s="193"/>
      <c r="R83" s="193"/>
      <c r="S83" s="193"/>
      <c r="T83" s="193"/>
      <c r="U83" s="193"/>
      <c r="V83" s="193"/>
      <c r="W83" s="193"/>
      <c r="X83" s="193"/>
      <c r="Y83" s="193"/>
      <c r="Z83" s="193"/>
      <c r="AA83" s="193"/>
      <c r="AB83" s="193"/>
      <c r="AC83" s="193"/>
      <c r="AD83" s="193"/>
      <c r="AE83" s="193"/>
      <c r="AF83" s="193"/>
      <c r="AG83" s="193"/>
      <c r="AH83" s="193"/>
      <c r="AI83" s="193"/>
      <c r="AJ83" s="193"/>
      <c r="AK83" s="193"/>
      <c r="AL83" s="193"/>
      <c r="AM83" s="193"/>
      <c r="AN83" s="193"/>
      <c r="AO83" s="193"/>
      <c r="AP83" s="193"/>
      <c r="AQ83" s="193"/>
      <c r="AR83" s="193"/>
      <c r="AS83" s="193"/>
      <c r="AT83" s="193"/>
      <c r="AU83" s="193"/>
      <c r="AV83" s="193"/>
      <c r="AW83" s="193"/>
      <c r="AX83" s="193"/>
      <c r="AY83" s="193"/>
      <c r="AZ83" s="193"/>
      <c r="BA83" s="193"/>
      <c r="BB83" s="193"/>
      <c r="BC83" s="193"/>
      <c r="BD83" s="193"/>
      <c r="BE83" s="193"/>
    </row>
    <row r="84" spans="1:57" x14ac:dyDescent="0.2">
      <c r="A84" s="279"/>
      <c r="B84" s="279"/>
      <c r="C84" s="275"/>
      <c r="D84" s="275"/>
      <c r="E84" s="193"/>
      <c r="F84" s="193"/>
      <c r="G84" s="193"/>
      <c r="H84" s="193"/>
      <c r="I84" s="193"/>
      <c r="J84" s="193"/>
      <c r="K84" s="193"/>
      <c r="L84" s="193"/>
      <c r="M84" s="193"/>
      <c r="N84" s="193"/>
      <c r="O84" s="193"/>
      <c r="P84" s="193"/>
      <c r="Q84" s="193"/>
      <c r="R84" s="193"/>
      <c r="S84" s="193"/>
      <c r="T84" s="193"/>
      <c r="U84" s="193"/>
      <c r="V84" s="193"/>
      <c r="W84" s="193"/>
      <c r="X84" s="193"/>
      <c r="Y84" s="193"/>
      <c r="Z84" s="193"/>
      <c r="AA84" s="193"/>
      <c r="AB84" s="193"/>
      <c r="AC84" s="193"/>
      <c r="AD84" s="193"/>
      <c r="AE84" s="193"/>
      <c r="AF84" s="193"/>
      <c r="AG84" s="193"/>
      <c r="AH84" s="193"/>
      <c r="AI84" s="193"/>
      <c r="AJ84" s="193"/>
      <c r="AK84" s="193"/>
      <c r="AL84" s="193"/>
      <c r="AM84" s="193"/>
      <c r="AN84" s="193"/>
      <c r="AO84" s="193"/>
      <c r="AP84" s="193"/>
      <c r="AQ84" s="193"/>
      <c r="AR84" s="193"/>
      <c r="AS84" s="193"/>
      <c r="AT84" s="193"/>
      <c r="AU84" s="193"/>
      <c r="AV84" s="193"/>
      <c r="AW84" s="193"/>
      <c r="AX84" s="193"/>
      <c r="AY84" s="193"/>
      <c r="AZ84" s="193"/>
      <c r="BA84" s="193"/>
      <c r="BB84" s="193"/>
      <c r="BC84" s="193"/>
      <c r="BD84" s="193"/>
      <c r="BE84" s="193"/>
    </row>
    <row r="85" spans="1:57" x14ac:dyDescent="0.2">
      <c r="A85" s="279"/>
      <c r="B85" s="279"/>
      <c r="C85" s="275"/>
      <c r="D85" s="275"/>
      <c r="E85" s="193"/>
      <c r="F85" s="193"/>
      <c r="G85" s="193"/>
      <c r="H85" s="193"/>
      <c r="I85" s="286"/>
      <c r="J85" s="193"/>
      <c r="K85" s="193"/>
      <c r="L85" s="193"/>
      <c r="M85" s="193"/>
      <c r="N85" s="193"/>
      <c r="O85" s="193"/>
      <c r="P85" s="193"/>
      <c r="Q85" s="193"/>
      <c r="R85" s="193"/>
      <c r="S85" s="193"/>
      <c r="T85" s="193"/>
      <c r="U85" s="193"/>
      <c r="V85" s="193"/>
      <c r="W85" s="193"/>
      <c r="X85" s="193"/>
      <c r="Y85" s="193"/>
      <c r="Z85" s="193"/>
      <c r="AA85" s="193"/>
      <c r="AB85" s="193"/>
      <c r="AC85" s="193"/>
      <c r="AD85" s="193"/>
      <c r="AE85" s="193"/>
      <c r="AF85" s="193"/>
      <c r="AG85" s="193"/>
      <c r="AH85" s="193"/>
      <c r="AI85" s="193"/>
      <c r="AJ85" s="193"/>
      <c r="AK85" s="193"/>
      <c r="AL85" s="193"/>
      <c r="AM85" s="193"/>
      <c r="AN85" s="193"/>
      <c r="AO85" s="193"/>
      <c r="AP85" s="193"/>
      <c r="AQ85" s="193"/>
      <c r="AR85" s="193"/>
      <c r="AS85" s="193"/>
      <c r="AT85" s="193"/>
      <c r="AU85" s="193"/>
      <c r="AV85" s="193"/>
      <c r="AW85" s="193"/>
      <c r="AX85" s="193"/>
      <c r="AY85" s="193"/>
      <c r="AZ85" s="193"/>
      <c r="BA85" s="193"/>
      <c r="BB85" s="193"/>
      <c r="BC85" s="193"/>
      <c r="BD85" s="193"/>
      <c r="BE85" s="193"/>
    </row>
    <row r="86" spans="1:57" x14ac:dyDescent="0.2">
      <c r="A86" s="279"/>
      <c r="B86" s="279"/>
      <c r="C86" s="275"/>
      <c r="D86" s="275"/>
      <c r="E86" s="193"/>
      <c r="F86" s="193"/>
      <c r="G86" s="193"/>
      <c r="H86" s="193"/>
      <c r="I86" s="193"/>
      <c r="J86" s="193"/>
      <c r="K86" s="193"/>
      <c r="L86" s="193"/>
      <c r="M86" s="193"/>
      <c r="N86" s="193"/>
      <c r="O86" s="193"/>
      <c r="P86" s="193"/>
      <c r="Q86" s="193"/>
      <c r="R86" s="193"/>
      <c r="S86" s="193"/>
      <c r="T86" s="193"/>
      <c r="U86" s="193"/>
      <c r="V86" s="193"/>
      <c r="W86" s="193"/>
      <c r="X86" s="193"/>
      <c r="Y86" s="193"/>
      <c r="Z86" s="193"/>
      <c r="AA86" s="193"/>
      <c r="AB86" s="193"/>
      <c r="AC86" s="193"/>
      <c r="AD86" s="193"/>
      <c r="AE86" s="193"/>
      <c r="AF86" s="193"/>
      <c r="AG86" s="193"/>
      <c r="AH86" s="193"/>
      <c r="AI86" s="193"/>
      <c r="AJ86" s="193"/>
      <c r="AK86" s="193"/>
      <c r="AL86" s="193"/>
      <c r="AM86" s="193"/>
      <c r="AN86" s="193"/>
      <c r="AO86" s="193"/>
      <c r="AP86" s="193"/>
      <c r="AQ86" s="193"/>
      <c r="AR86" s="193"/>
      <c r="AS86" s="193"/>
      <c r="AT86" s="193"/>
      <c r="AU86" s="193"/>
      <c r="AV86" s="193"/>
      <c r="AW86" s="193"/>
      <c r="AX86" s="193"/>
      <c r="AY86" s="193"/>
      <c r="AZ86" s="193"/>
      <c r="BA86" s="193"/>
      <c r="BB86" s="193"/>
      <c r="BC86" s="193"/>
      <c r="BD86" s="193"/>
      <c r="BE86" s="193"/>
    </row>
    <row r="87" spans="1:57" x14ac:dyDescent="0.2">
      <c r="A87" s="279"/>
      <c r="B87" s="279"/>
      <c r="C87" s="275"/>
      <c r="D87" s="275"/>
      <c r="E87" s="193"/>
      <c r="F87" s="193"/>
      <c r="G87" s="193"/>
      <c r="H87" s="193"/>
      <c r="I87" s="193"/>
      <c r="J87" s="193"/>
      <c r="K87" s="193"/>
      <c r="L87" s="193"/>
      <c r="M87" s="193"/>
      <c r="N87" s="193"/>
      <c r="O87" s="193"/>
      <c r="P87" s="193"/>
      <c r="Q87" s="193"/>
      <c r="R87" s="193"/>
      <c r="S87" s="193"/>
      <c r="T87" s="193"/>
      <c r="U87" s="193"/>
      <c r="V87" s="193"/>
      <c r="W87" s="193"/>
      <c r="X87" s="193"/>
      <c r="Y87" s="193"/>
      <c r="Z87" s="193"/>
      <c r="AA87" s="193"/>
      <c r="AB87" s="193"/>
      <c r="AC87" s="193"/>
      <c r="AD87" s="193"/>
      <c r="AE87" s="193"/>
      <c r="AF87" s="193"/>
      <c r="AG87" s="193"/>
      <c r="AH87" s="193"/>
      <c r="AI87" s="193"/>
      <c r="AJ87" s="193"/>
      <c r="AK87" s="193"/>
      <c r="AL87" s="193"/>
      <c r="AM87" s="193"/>
      <c r="AN87" s="193"/>
      <c r="AO87" s="193"/>
      <c r="AP87" s="193"/>
      <c r="AQ87" s="193"/>
      <c r="AR87" s="193"/>
      <c r="AS87" s="193"/>
      <c r="AT87" s="193"/>
      <c r="AU87" s="193"/>
      <c r="AV87" s="193"/>
      <c r="AW87" s="193"/>
      <c r="AX87" s="193"/>
      <c r="AY87" s="193"/>
      <c r="AZ87" s="193"/>
      <c r="BA87" s="193"/>
      <c r="BB87" s="193"/>
      <c r="BC87" s="193"/>
      <c r="BD87" s="193"/>
      <c r="BE87" s="193"/>
    </row>
    <row r="88" spans="1:57" x14ac:dyDescent="0.2">
      <c r="A88" s="279"/>
      <c r="B88" s="279"/>
      <c r="C88" s="275"/>
      <c r="D88" s="275"/>
      <c r="E88" s="193"/>
      <c r="F88" s="193"/>
      <c r="G88" s="193"/>
      <c r="H88" s="193"/>
      <c r="I88" s="193"/>
      <c r="J88" s="193"/>
      <c r="K88" s="193"/>
      <c r="L88" s="193"/>
      <c r="M88" s="193"/>
      <c r="N88" s="193"/>
      <c r="O88" s="193"/>
      <c r="P88" s="193"/>
      <c r="Q88" s="193"/>
      <c r="R88" s="193"/>
      <c r="S88" s="193"/>
      <c r="T88" s="193"/>
      <c r="U88" s="193"/>
      <c r="V88" s="193"/>
      <c r="W88" s="193"/>
      <c r="X88" s="193"/>
      <c r="Y88" s="193"/>
      <c r="Z88" s="193"/>
      <c r="AA88" s="193"/>
      <c r="AB88" s="193"/>
      <c r="AC88" s="193"/>
      <c r="AD88" s="193"/>
      <c r="AE88" s="193"/>
      <c r="AF88" s="193"/>
      <c r="AG88" s="193"/>
      <c r="AH88" s="193"/>
      <c r="AI88" s="193"/>
      <c r="AJ88" s="193"/>
      <c r="AK88" s="193"/>
      <c r="AL88" s="193"/>
      <c r="AM88" s="193"/>
      <c r="AN88" s="193"/>
      <c r="AO88" s="193"/>
      <c r="AP88" s="193"/>
      <c r="AQ88" s="193"/>
      <c r="AR88" s="193"/>
      <c r="AS88" s="193"/>
      <c r="AT88" s="193"/>
      <c r="AU88" s="193"/>
      <c r="AV88" s="193"/>
      <c r="AW88" s="193"/>
      <c r="AX88" s="193"/>
      <c r="AY88" s="193"/>
      <c r="AZ88" s="193"/>
      <c r="BA88" s="193"/>
      <c r="BB88" s="193"/>
      <c r="BC88" s="193"/>
      <c r="BD88" s="193"/>
      <c r="BE88" s="193"/>
    </row>
    <row r="89" spans="1:57" x14ac:dyDescent="0.2">
      <c r="A89" s="279"/>
      <c r="B89" s="279"/>
      <c r="C89" s="275"/>
      <c r="D89" s="275"/>
      <c r="E89" s="193"/>
      <c r="F89" s="193"/>
      <c r="G89" s="193"/>
      <c r="H89" s="193"/>
      <c r="I89" s="193"/>
      <c r="J89" s="193"/>
      <c r="K89" s="193"/>
      <c r="L89" s="193"/>
      <c r="M89" s="193"/>
      <c r="N89" s="193"/>
      <c r="O89" s="193"/>
      <c r="P89" s="193"/>
      <c r="Q89" s="193"/>
      <c r="R89" s="193"/>
      <c r="S89" s="193"/>
      <c r="T89" s="193"/>
      <c r="U89" s="193"/>
      <c r="V89" s="193"/>
      <c r="W89" s="193"/>
      <c r="X89" s="193"/>
      <c r="Y89" s="193"/>
      <c r="Z89" s="193"/>
      <c r="AA89" s="193"/>
      <c r="AB89" s="193"/>
      <c r="AC89" s="193"/>
      <c r="AD89" s="193"/>
      <c r="AE89" s="193"/>
      <c r="AF89" s="193"/>
      <c r="AG89" s="193"/>
      <c r="AH89" s="193"/>
      <c r="AI89" s="193"/>
      <c r="AJ89" s="193"/>
      <c r="AK89" s="193"/>
      <c r="AL89" s="193"/>
      <c r="AM89" s="193"/>
      <c r="AN89" s="193"/>
      <c r="AO89" s="193"/>
      <c r="AP89" s="193"/>
      <c r="AQ89" s="193"/>
      <c r="AR89" s="193"/>
      <c r="AS89" s="193"/>
      <c r="AT89" s="193"/>
      <c r="AU89" s="193"/>
      <c r="AV89" s="193"/>
      <c r="AW89" s="193"/>
      <c r="AX89" s="193"/>
      <c r="AY89" s="193"/>
      <c r="AZ89" s="193"/>
      <c r="BA89" s="193"/>
      <c r="BB89" s="193"/>
      <c r="BC89" s="193"/>
      <c r="BD89" s="193"/>
      <c r="BE89" s="193"/>
    </row>
    <row r="90" spans="1:57" x14ac:dyDescent="0.2">
      <c r="A90" s="279"/>
      <c r="B90" s="279"/>
      <c r="C90" s="288"/>
      <c r="D90" s="275"/>
      <c r="E90" s="193"/>
      <c r="F90" s="193"/>
      <c r="G90" s="193"/>
      <c r="H90" s="193"/>
      <c r="I90" s="193"/>
      <c r="J90" s="193"/>
      <c r="K90" s="193"/>
      <c r="L90" s="193"/>
      <c r="M90" s="193"/>
      <c r="N90" s="193"/>
      <c r="O90" s="193"/>
      <c r="P90" s="193"/>
      <c r="Q90" s="193"/>
      <c r="R90" s="193"/>
      <c r="S90" s="193"/>
      <c r="T90" s="193"/>
      <c r="U90" s="193"/>
      <c r="V90" s="193"/>
      <c r="W90" s="193"/>
      <c r="X90" s="193"/>
      <c r="Y90" s="193"/>
      <c r="Z90" s="193"/>
      <c r="AA90" s="193"/>
      <c r="AB90" s="193"/>
      <c r="AC90" s="193"/>
      <c r="AD90" s="193"/>
      <c r="AE90" s="193"/>
      <c r="AF90" s="193"/>
      <c r="AG90" s="193"/>
      <c r="AH90" s="193"/>
      <c r="AI90" s="193"/>
      <c r="AJ90" s="193"/>
      <c r="AK90" s="193"/>
      <c r="AL90" s="193"/>
      <c r="AM90" s="193"/>
      <c r="AN90" s="193"/>
      <c r="AO90" s="193"/>
      <c r="AP90" s="193"/>
      <c r="AQ90" s="193"/>
      <c r="AR90" s="193"/>
      <c r="AS90" s="193"/>
      <c r="AT90" s="193"/>
      <c r="AU90" s="193"/>
      <c r="AV90" s="193"/>
      <c r="AW90" s="193"/>
      <c r="AX90" s="193"/>
      <c r="AY90" s="193"/>
      <c r="AZ90" s="193"/>
      <c r="BA90" s="193"/>
      <c r="BB90" s="193"/>
      <c r="BC90" s="193"/>
      <c r="BD90" s="193"/>
      <c r="BE90" s="193"/>
    </row>
    <row r="91" spans="1:57" x14ac:dyDescent="0.2">
      <c r="A91" s="279"/>
      <c r="B91" s="279"/>
      <c r="C91" s="288"/>
      <c r="D91" s="275"/>
      <c r="E91" s="193"/>
      <c r="F91" s="193"/>
      <c r="G91" s="193"/>
      <c r="H91" s="193"/>
      <c r="I91" s="193"/>
      <c r="J91" s="193"/>
      <c r="K91" s="193"/>
      <c r="L91" s="193"/>
      <c r="M91" s="193"/>
      <c r="N91" s="193"/>
      <c r="O91" s="193"/>
      <c r="P91" s="193"/>
      <c r="Q91" s="193"/>
      <c r="R91" s="193"/>
      <c r="S91" s="193"/>
      <c r="T91" s="193"/>
      <c r="U91" s="193"/>
      <c r="V91" s="193"/>
      <c r="W91" s="193"/>
      <c r="X91" s="193"/>
      <c r="Y91" s="193"/>
      <c r="Z91" s="193"/>
      <c r="AA91" s="193"/>
      <c r="AB91" s="193"/>
      <c r="AC91" s="193"/>
      <c r="AD91" s="193"/>
      <c r="AE91" s="193"/>
      <c r="AF91" s="193"/>
      <c r="AG91" s="193"/>
      <c r="AH91" s="193"/>
      <c r="AI91" s="193"/>
      <c r="AJ91" s="193"/>
      <c r="AK91" s="193"/>
      <c r="AL91" s="193"/>
      <c r="AM91" s="193"/>
      <c r="AN91" s="193"/>
      <c r="AO91" s="193"/>
      <c r="AP91" s="193"/>
      <c r="AQ91" s="193"/>
      <c r="AR91" s="193"/>
      <c r="AS91" s="193"/>
      <c r="AT91" s="193"/>
      <c r="AU91" s="193"/>
      <c r="AV91" s="193"/>
      <c r="AW91" s="193"/>
      <c r="AX91" s="193"/>
      <c r="AY91" s="193"/>
      <c r="AZ91" s="193"/>
      <c r="BA91" s="193"/>
      <c r="BB91" s="193"/>
      <c r="BC91" s="193"/>
      <c r="BD91" s="193"/>
      <c r="BE91" s="193"/>
    </row>
    <row r="92" spans="1:57" x14ac:dyDescent="0.2">
      <c r="A92" s="279"/>
      <c r="B92" s="279"/>
      <c r="C92" s="288"/>
      <c r="D92" s="275"/>
      <c r="E92" s="193"/>
      <c r="F92" s="193"/>
      <c r="G92" s="193"/>
      <c r="H92" s="193"/>
      <c r="I92" s="193"/>
      <c r="J92" s="193"/>
      <c r="K92" s="193"/>
      <c r="L92" s="193"/>
      <c r="M92" s="193"/>
      <c r="N92" s="193"/>
      <c r="O92" s="193"/>
      <c r="P92" s="193"/>
      <c r="Q92" s="193"/>
      <c r="R92" s="193"/>
      <c r="S92" s="193"/>
      <c r="T92" s="193"/>
      <c r="U92" s="193"/>
      <c r="V92" s="193"/>
      <c r="W92" s="193"/>
      <c r="X92" s="193"/>
      <c r="Y92" s="193"/>
      <c r="Z92" s="193"/>
      <c r="AA92" s="193"/>
      <c r="AB92" s="285">
        <v>51907558</v>
      </c>
      <c r="AC92" s="193"/>
      <c r="AD92" s="193"/>
      <c r="AE92" s="193"/>
      <c r="AF92" s="193"/>
      <c r="AG92" s="193"/>
      <c r="AH92" s="193"/>
      <c r="AI92" s="193"/>
      <c r="AJ92" s="193"/>
      <c r="AK92" s="193"/>
      <c r="AL92" s="193"/>
      <c r="AM92" s="193"/>
      <c r="AN92" s="193"/>
      <c r="AO92" s="193"/>
      <c r="AP92" s="193"/>
      <c r="AQ92" s="193"/>
      <c r="AR92" s="193"/>
      <c r="AS92" s="193"/>
      <c r="AT92" s="193"/>
      <c r="AU92" s="193"/>
      <c r="AV92" s="193"/>
      <c r="AW92" s="193"/>
      <c r="AX92" s="193"/>
      <c r="AY92" s="193"/>
      <c r="AZ92" s="193"/>
      <c r="BA92" s="193"/>
      <c r="BB92" s="193"/>
      <c r="BC92" s="193"/>
      <c r="BD92" s="193"/>
      <c r="BE92" s="193"/>
    </row>
    <row r="93" spans="1:57" x14ac:dyDescent="0.2">
      <c r="A93" s="279"/>
      <c r="B93" s="279"/>
      <c r="C93" s="288"/>
      <c r="D93" s="275"/>
      <c r="E93" s="193"/>
      <c r="F93" s="193"/>
      <c r="G93" s="193"/>
      <c r="H93" s="193"/>
      <c r="I93" s="193"/>
      <c r="J93" s="193"/>
      <c r="K93" s="193"/>
      <c r="L93" s="193"/>
      <c r="M93" s="193"/>
      <c r="N93" s="193"/>
      <c r="O93" s="193"/>
      <c r="P93" s="193"/>
      <c r="Q93" s="193"/>
      <c r="R93" s="193"/>
      <c r="S93" s="193"/>
      <c r="T93" s="193"/>
      <c r="U93" s="193"/>
      <c r="V93" s="193"/>
      <c r="W93" s="193"/>
      <c r="X93" s="193"/>
      <c r="Y93" s="193"/>
      <c r="Z93" s="193"/>
      <c r="AA93" s="193"/>
      <c r="AB93" s="285">
        <v>5653686</v>
      </c>
      <c r="AC93" s="193"/>
      <c r="AD93" s="193"/>
      <c r="AE93" s="193"/>
      <c r="AF93" s="193"/>
      <c r="AG93" s="193"/>
      <c r="AH93" s="193"/>
      <c r="AI93" s="193"/>
      <c r="AJ93" s="193"/>
      <c r="AK93" s="193"/>
      <c r="AL93" s="193"/>
      <c r="AM93" s="193"/>
      <c r="AN93" s="193"/>
      <c r="AO93" s="193"/>
      <c r="AP93" s="193"/>
      <c r="AQ93" s="193"/>
      <c r="AR93" s="193"/>
      <c r="AS93" s="193"/>
      <c r="AT93" s="193"/>
      <c r="AU93" s="193"/>
      <c r="AV93" s="193"/>
      <c r="AW93" s="193"/>
      <c r="AX93" s="193"/>
      <c r="AY93" s="193"/>
      <c r="AZ93" s="193"/>
      <c r="BA93" s="193"/>
      <c r="BB93" s="193"/>
      <c r="BC93" s="193"/>
      <c r="BD93" s="193"/>
      <c r="BE93" s="193"/>
    </row>
    <row r="94" spans="1:57" ht="10.5" x14ac:dyDescent="0.2">
      <c r="A94" s="279"/>
      <c r="B94" s="279"/>
      <c r="C94" s="275"/>
      <c r="D94" s="275"/>
      <c r="E94" s="193"/>
      <c r="F94" s="193"/>
      <c r="G94" s="193"/>
      <c r="H94" s="193"/>
      <c r="I94" s="193"/>
      <c r="J94" s="193"/>
      <c r="K94" s="193"/>
      <c r="L94" s="193"/>
      <c r="M94" s="193"/>
      <c r="N94" s="193"/>
      <c r="O94" s="193"/>
      <c r="P94" s="193"/>
      <c r="Q94" s="193"/>
      <c r="R94" s="193"/>
      <c r="S94" s="193"/>
      <c r="T94" s="193"/>
      <c r="U94" s="193"/>
      <c r="V94" s="193"/>
      <c r="W94" s="193"/>
      <c r="X94" s="193"/>
      <c r="Y94" s="193"/>
      <c r="Z94" s="193"/>
      <c r="AA94" s="193"/>
      <c r="AB94" s="289">
        <v>12692412</v>
      </c>
      <c r="AC94" s="193"/>
      <c r="AD94" s="193"/>
      <c r="AE94" s="193"/>
      <c r="AF94" s="193"/>
      <c r="AG94" s="193"/>
      <c r="AH94" s="193"/>
      <c r="AI94" s="193"/>
      <c r="AJ94" s="193"/>
      <c r="AK94" s="193"/>
      <c r="AL94" s="193"/>
      <c r="AM94" s="193"/>
      <c r="AN94" s="193"/>
      <c r="AO94" s="193"/>
      <c r="AP94" s="193"/>
      <c r="AQ94" s="193"/>
      <c r="AR94" s="193"/>
      <c r="AS94" s="193"/>
      <c r="AT94" s="193"/>
      <c r="AU94" s="193"/>
      <c r="AV94" s="193"/>
      <c r="AW94" s="193"/>
      <c r="AX94" s="193"/>
      <c r="AY94" s="193"/>
      <c r="AZ94" s="193"/>
      <c r="BA94" s="193"/>
      <c r="BB94" s="193"/>
      <c r="BC94" s="193"/>
      <c r="BD94" s="193"/>
      <c r="BE94" s="193"/>
    </row>
    <row r="95" spans="1:57" x14ac:dyDescent="0.2">
      <c r="A95" s="279"/>
      <c r="B95" s="279"/>
      <c r="C95" s="290"/>
      <c r="D95" s="275"/>
      <c r="E95" s="279"/>
      <c r="F95" s="193"/>
      <c r="G95" s="193"/>
      <c r="H95" s="193"/>
      <c r="I95" s="193"/>
      <c r="J95" s="193"/>
      <c r="K95" s="193"/>
      <c r="L95" s="193"/>
      <c r="M95" s="193"/>
      <c r="N95" s="193"/>
      <c r="O95" s="193"/>
      <c r="P95" s="193"/>
      <c r="Q95" s="193"/>
      <c r="R95" s="193"/>
      <c r="S95" s="193"/>
      <c r="T95" s="193"/>
      <c r="U95" s="193"/>
      <c r="V95" s="193"/>
      <c r="W95" s="193"/>
      <c r="X95" s="193"/>
      <c r="Y95" s="193"/>
      <c r="Z95" s="193"/>
      <c r="AA95" s="193"/>
      <c r="AB95" s="285">
        <f>2087126+104781+1490804+3622699+3378024+2203059+153524</f>
        <v>13040017</v>
      </c>
      <c r="AC95" s="193"/>
      <c r="AD95" s="193"/>
      <c r="AE95" s="193"/>
      <c r="AF95" s="193"/>
      <c r="AG95" s="193"/>
      <c r="AH95" s="193"/>
      <c r="AI95" s="193"/>
      <c r="AJ95" s="193"/>
      <c r="AK95" s="193"/>
      <c r="AL95" s="193"/>
      <c r="AM95" s="193"/>
      <c r="AN95" s="193"/>
      <c r="AO95" s="193"/>
      <c r="AP95" s="193"/>
      <c r="AQ95" s="193"/>
      <c r="AR95" s="193"/>
      <c r="AS95" s="193"/>
      <c r="AT95" s="193"/>
      <c r="AU95" s="193"/>
      <c r="AV95" s="193"/>
      <c r="AW95" s="193"/>
      <c r="AX95" s="193"/>
      <c r="AY95" s="193"/>
      <c r="AZ95" s="193"/>
      <c r="BA95" s="193"/>
      <c r="BB95" s="193"/>
      <c r="BC95" s="193"/>
      <c r="BD95" s="193"/>
      <c r="BE95" s="193"/>
    </row>
    <row r="96" spans="1:57" x14ac:dyDescent="0.2">
      <c r="A96" s="279"/>
      <c r="B96" s="279"/>
      <c r="C96" s="291"/>
      <c r="D96" s="275"/>
      <c r="E96" s="193"/>
      <c r="F96" s="193"/>
      <c r="G96" s="193"/>
      <c r="H96" s="193"/>
      <c r="I96" s="193"/>
      <c r="J96" s="193"/>
      <c r="K96" s="193"/>
      <c r="L96" s="193"/>
      <c r="M96" s="193"/>
      <c r="N96" s="193"/>
      <c r="O96" s="193"/>
      <c r="P96" s="193"/>
      <c r="Q96" s="193"/>
      <c r="R96" s="193"/>
      <c r="S96" s="193"/>
      <c r="T96" s="193"/>
      <c r="U96" s="193"/>
      <c r="V96" s="193"/>
      <c r="W96" s="193"/>
      <c r="X96" s="193"/>
      <c r="Y96" s="193"/>
      <c r="Z96" s="193"/>
      <c r="AA96" s="193"/>
      <c r="AB96" s="292">
        <f>SUM(AB92:AB95)</f>
        <v>83293673</v>
      </c>
      <c r="AC96" s="193"/>
      <c r="AD96" s="193"/>
      <c r="AE96" s="193"/>
      <c r="AF96" s="193"/>
      <c r="AG96" s="193"/>
      <c r="AH96" s="193"/>
      <c r="AI96" s="193"/>
      <c r="AJ96" s="193"/>
      <c r="AK96" s="193"/>
      <c r="AL96" s="193"/>
      <c r="AM96" s="193"/>
      <c r="AN96" s="193"/>
      <c r="AO96" s="193"/>
      <c r="AP96" s="193"/>
      <c r="AQ96" s="193"/>
      <c r="AR96" s="193"/>
      <c r="AS96" s="193"/>
      <c r="AT96" s="193"/>
      <c r="AU96" s="193"/>
      <c r="AV96" s="193"/>
      <c r="AW96" s="193"/>
      <c r="AX96" s="193"/>
      <c r="AY96" s="193"/>
      <c r="AZ96" s="193"/>
      <c r="BA96" s="193"/>
      <c r="BB96" s="193"/>
      <c r="BC96" s="193"/>
      <c r="BD96" s="193"/>
      <c r="BE96" s="193"/>
    </row>
    <row r="97" spans="1:57" x14ac:dyDescent="0.2">
      <c r="A97" s="279"/>
      <c r="B97" s="279"/>
      <c r="C97" s="275"/>
      <c r="D97" s="275"/>
      <c r="E97" s="193"/>
      <c r="F97" s="193"/>
      <c r="G97" s="193"/>
      <c r="H97" s="193"/>
      <c r="I97" s="193"/>
      <c r="J97" s="193"/>
      <c r="K97" s="193"/>
      <c r="L97" s="193"/>
      <c r="M97" s="193"/>
      <c r="N97" s="193"/>
      <c r="O97" s="193"/>
      <c r="P97" s="193"/>
      <c r="Q97" s="193"/>
      <c r="R97" s="193"/>
      <c r="S97" s="193"/>
      <c r="T97" s="193"/>
      <c r="U97" s="193"/>
      <c r="V97" s="193"/>
      <c r="W97" s="193"/>
      <c r="X97" s="193"/>
      <c r="Y97" s="193"/>
      <c r="Z97" s="193"/>
      <c r="AA97" s="193"/>
      <c r="AB97" s="193"/>
      <c r="AC97" s="193"/>
      <c r="AD97" s="193"/>
      <c r="AE97" s="193"/>
      <c r="AF97" s="193"/>
      <c r="AG97" s="193"/>
      <c r="AH97" s="193"/>
      <c r="AI97" s="193"/>
      <c r="AJ97" s="193"/>
      <c r="AK97" s="193"/>
      <c r="AL97" s="193"/>
      <c r="AM97" s="193"/>
      <c r="AN97" s="193"/>
      <c r="AO97" s="193"/>
      <c r="AP97" s="193"/>
      <c r="AQ97" s="193"/>
      <c r="AR97" s="193"/>
      <c r="AS97" s="193"/>
      <c r="AT97" s="193"/>
      <c r="AU97" s="193"/>
      <c r="AV97" s="193"/>
      <c r="AW97" s="193"/>
      <c r="AX97" s="193"/>
      <c r="AY97" s="193"/>
      <c r="AZ97" s="193"/>
      <c r="BA97" s="193"/>
      <c r="BB97" s="193"/>
      <c r="BC97" s="193"/>
      <c r="BD97" s="193"/>
      <c r="BE97" s="193"/>
    </row>
    <row r="98" spans="1:57" x14ac:dyDescent="0.2">
      <c r="A98" s="279"/>
      <c r="B98" s="279"/>
      <c r="C98" s="275"/>
      <c r="D98" s="288"/>
      <c r="E98" s="279"/>
      <c r="F98" s="193"/>
      <c r="G98" s="193"/>
      <c r="H98" s="193"/>
      <c r="I98" s="193"/>
      <c r="J98" s="193"/>
      <c r="K98" s="193"/>
      <c r="L98" s="193"/>
      <c r="M98" s="193"/>
      <c r="N98" s="193"/>
      <c r="O98" s="193"/>
      <c r="P98" s="193"/>
      <c r="Q98" s="193"/>
      <c r="R98" s="193"/>
      <c r="S98" s="193"/>
      <c r="T98" s="193"/>
      <c r="U98" s="193"/>
      <c r="V98" s="193"/>
      <c r="W98" s="193"/>
      <c r="X98" s="193"/>
      <c r="Y98" s="193"/>
      <c r="Z98" s="193"/>
      <c r="AA98" s="193"/>
      <c r="AB98" s="193"/>
      <c r="AC98" s="193"/>
      <c r="AD98" s="193"/>
      <c r="AE98" s="193"/>
      <c r="AF98" s="193"/>
      <c r="AG98" s="193"/>
      <c r="AH98" s="193"/>
      <c r="AI98" s="193"/>
      <c r="AJ98" s="193"/>
      <c r="AK98" s="193"/>
      <c r="AL98" s="193"/>
      <c r="AM98" s="193"/>
      <c r="AN98" s="193"/>
      <c r="AO98" s="193"/>
      <c r="AP98" s="193"/>
      <c r="AQ98" s="193"/>
      <c r="AR98" s="193"/>
      <c r="AS98" s="193"/>
      <c r="AT98" s="193"/>
      <c r="AU98" s="193"/>
      <c r="AV98" s="193"/>
      <c r="AW98" s="193"/>
      <c r="AX98" s="193"/>
      <c r="AY98" s="193"/>
      <c r="AZ98" s="193"/>
      <c r="BA98" s="193"/>
      <c r="BB98" s="193"/>
      <c r="BC98" s="193"/>
      <c r="BD98" s="193"/>
      <c r="BE98" s="193"/>
    </row>
    <row r="99" spans="1:57" x14ac:dyDescent="0.2">
      <c r="A99" s="279"/>
      <c r="B99" s="279"/>
      <c r="C99" s="275"/>
      <c r="D99" s="275"/>
      <c r="E99" s="279"/>
      <c r="F99" s="193"/>
      <c r="G99" s="193"/>
      <c r="H99" s="193"/>
      <c r="I99" s="193"/>
      <c r="J99" s="193"/>
      <c r="K99" s="193"/>
      <c r="L99" s="193"/>
      <c r="M99" s="193"/>
      <c r="N99" s="193"/>
      <c r="O99" s="193"/>
      <c r="P99" s="193"/>
      <c r="Q99" s="193"/>
      <c r="R99" s="193"/>
      <c r="S99" s="193"/>
      <c r="T99" s="193"/>
      <c r="U99" s="193"/>
      <c r="V99" s="193"/>
      <c r="W99" s="193"/>
      <c r="X99" s="193"/>
      <c r="Y99" s="193"/>
      <c r="Z99" s="193"/>
      <c r="AA99" s="193"/>
      <c r="AB99" s="193"/>
      <c r="AC99" s="193"/>
      <c r="AD99" s="193"/>
      <c r="AE99" s="193"/>
      <c r="AF99" s="193"/>
      <c r="AG99" s="193"/>
      <c r="AH99" s="193"/>
      <c r="AI99" s="193"/>
      <c r="AJ99" s="193"/>
      <c r="AK99" s="193"/>
      <c r="AL99" s="193"/>
      <c r="AM99" s="193"/>
      <c r="AN99" s="193"/>
      <c r="AO99" s="193"/>
      <c r="AP99" s="193"/>
      <c r="AQ99" s="193"/>
      <c r="AR99" s="193"/>
      <c r="AS99" s="193"/>
      <c r="AT99" s="193"/>
      <c r="AU99" s="193"/>
      <c r="AV99" s="193"/>
      <c r="AW99" s="193"/>
      <c r="AX99" s="193"/>
      <c r="AY99" s="193"/>
      <c r="AZ99" s="193"/>
      <c r="BA99" s="193"/>
      <c r="BB99" s="193"/>
      <c r="BC99" s="193"/>
      <c r="BD99" s="193"/>
      <c r="BE99" s="193"/>
    </row>
    <row r="100" spans="1:57" x14ac:dyDescent="0.2">
      <c r="A100" s="279"/>
      <c r="B100" s="279"/>
      <c r="C100" s="275"/>
      <c r="D100" s="275"/>
      <c r="E100" s="279"/>
      <c r="F100" s="193"/>
      <c r="G100" s="193"/>
      <c r="H100" s="193"/>
      <c r="I100" s="193"/>
      <c r="J100" s="193"/>
      <c r="K100" s="193"/>
      <c r="L100" s="193"/>
      <c r="M100" s="193"/>
      <c r="N100" s="193"/>
      <c r="O100" s="193"/>
      <c r="P100" s="193"/>
      <c r="Q100" s="193"/>
      <c r="R100" s="193"/>
      <c r="S100" s="193"/>
      <c r="T100" s="193"/>
      <c r="U100" s="193"/>
      <c r="V100" s="193"/>
      <c r="W100" s="193"/>
      <c r="X100" s="193"/>
      <c r="Y100" s="193"/>
      <c r="Z100" s="193"/>
      <c r="AA100" s="193"/>
      <c r="AB100" s="193"/>
      <c r="AC100" s="193"/>
      <c r="AD100" s="193"/>
      <c r="AE100" s="193"/>
      <c r="AF100" s="193"/>
      <c r="AG100" s="193"/>
      <c r="AH100" s="193"/>
      <c r="AI100" s="193"/>
      <c r="AJ100" s="193"/>
      <c r="AK100" s="193"/>
      <c r="AL100" s="193"/>
      <c r="AM100" s="193"/>
      <c r="AN100" s="193"/>
      <c r="AO100" s="193"/>
      <c r="AP100" s="193"/>
      <c r="AQ100" s="193"/>
      <c r="AR100" s="193"/>
      <c r="AS100" s="193"/>
      <c r="AT100" s="193"/>
      <c r="AU100" s="193"/>
      <c r="AV100" s="193"/>
      <c r="AW100" s="193"/>
      <c r="AX100" s="193"/>
      <c r="AY100" s="193"/>
      <c r="AZ100" s="193"/>
      <c r="BA100" s="193"/>
      <c r="BB100" s="193"/>
      <c r="BC100" s="193"/>
      <c r="BD100" s="193"/>
      <c r="BE100" s="193"/>
    </row>
    <row r="101" spans="1:57" x14ac:dyDescent="0.2">
      <c r="A101" s="279"/>
      <c r="B101" s="279"/>
      <c r="C101" s="275"/>
      <c r="D101" s="275"/>
      <c r="E101" s="193"/>
      <c r="F101" s="193"/>
      <c r="G101" s="193"/>
      <c r="H101" s="193"/>
      <c r="I101" s="193"/>
      <c r="J101" s="193"/>
      <c r="K101" s="193"/>
      <c r="L101" s="193"/>
      <c r="M101" s="193"/>
      <c r="N101" s="193"/>
      <c r="O101" s="193"/>
      <c r="P101" s="193"/>
      <c r="Q101" s="193"/>
      <c r="R101" s="193"/>
      <c r="S101" s="193"/>
      <c r="T101" s="193"/>
      <c r="U101" s="193"/>
      <c r="V101" s="193"/>
      <c r="W101" s="193"/>
      <c r="X101" s="193"/>
      <c r="Y101" s="193"/>
      <c r="Z101" s="193"/>
      <c r="AA101" s="193"/>
      <c r="AB101" s="193"/>
      <c r="AC101" s="193"/>
      <c r="AD101" s="193"/>
      <c r="AE101" s="193"/>
      <c r="AF101" s="193"/>
      <c r="AG101" s="193"/>
      <c r="AH101" s="193"/>
      <c r="AI101" s="193"/>
      <c r="AJ101" s="193"/>
      <c r="AK101" s="193"/>
      <c r="AL101" s="193"/>
      <c r="AM101" s="193"/>
      <c r="AN101" s="193"/>
      <c r="AO101" s="193"/>
      <c r="AP101" s="193"/>
      <c r="AQ101" s="193"/>
      <c r="AR101" s="193"/>
      <c r="AS101" s="193"/>
      <c r="AT101" s="193"/>
      <c r="AU101" s="193"/>
      <c r="AV101" s="193"/>
      <c r="AW101" s="193"/>
      <c r="AX101" s="193"/>
      <c r="AY101" s="193"/>
      <c r="AZ101" s="193"/>
      <c r="BA101" s="193"/>
      <c r="BB101" s="193"/>
      <c r="BC101" s="193"/>
      <c r="BD101" s="193"/>
      <c r="BE101" s="193"/>
    </row>
    <row r="102" spans="1:57" x14ac:dyDescent="0.2">
      <c r="A102" s="279"/>
      <c r="B102" s="279"/>
      <c r="C102" s="275"/>
      <c r="D102" s="275"/>
      <c r="E102" s="193"/>
      <c r="F102" s="193"/>
      <c r="G102" s="193"/>
      <c r="H102" s="193"/>
      <c r="I102" s="193"/>
      <c r="J102" s="193"/>
      <c r="K102" s="193"/>
      <c r="L102" s="193"/>
      <c r="M102" s="193"/>
      <c r="N102" s="193"/>
      <c r="O102" s="193"/>
      <c r="P102" s="193"/>
      <c r="Q102" s="193"/>
      <c r="R102" s="193"/>
      <c r="S102" s="193"/>
      <c r="T102" s="193"/>
      <c r="U102" s="193"/>
      <c r="V102" s="193"/>
      <c r="W102" s="193"/>
      <c r="X102" s="193"/>
      <c r="Y102" s="193"/>
      <c r="Z102" s="193"/>
      <c r="AA102" s="193"/>
      <c r="AB102" s="193"/>
      <c r="AC102" s="193"/>
      <c r="AD102" s="193"/>
      <c r="AE102" s="193"/>
      <c r="AF102" s="193"/>
      <c r="AG102" s="193"/>
      <c r="AH102" s="193"/>
      <c r="AI102" s="193"/>
      <c r="AJ102" s="193"/>
      <c r="AK102" s="193"/>
      <c r="AL102" s="193"/>
      <c r="AM102" s="193"/>
      <c r="AN102" s="193"/>
      <c r="AO102" s="193"/>
      <c r="AP102" s="193"/>
      <c r="AQ102" s="193"/>
      <c r="AR102" s="193"/>
      <c r="AS102" s="193"/>
      <c r="AT102" s="193"/>
      <c r="AU102" s="193"/>
      <c r="AV102" s="193"/>
      <c r="AW102" s="193"/>
      <c r="AX102" s="193"/>
      <c r="AY102" s="193"/>
      <c r="AZ102" s="193"/>
      <c r="BA102" s="193"/>
      <c r="BB102" s="193"/>
      <c r="BC102" s="193"/>
      <c r="BD102" s="193"/>
      <c r="BE102" s="193"/>
    </row>
    <row r="103" spans="1:57" x14ac:dyDescent="0.2">
      <c r="A103" s="279"/>
      <c r="B103" s="279"/>
      <c r="C103" s="275"/>
      <c r="D103" s="275"/>
      <c r="E103" s="193"/>
      <c r="F103" s="193"/>
      <c r="G103" s="193"/>
      <c r="H103" s="193"/>
      <c r="I103" s="193"/>
      <c r="J103" s="193"/>
      <c r="K103" s="193"/>
      <c r="L103" s="193"/>
      <c r="M103" s="193"/>
      <c r="N103" s="193"/>
      <c r="O103" s="193"/>
      <c r="P103" s="193"/>
      <c r="Q103" s="193"/>
      <c r="R103" s="193"/>
      <c r="S103" s="193"/>
      <c r="T103" s="193"/>
      <c r="U103" s="193"/>
      <c r="V103" s="193"/>
      <c r="W103" s="193"/>
      <c r="X103" s="193"/>
      <c r="Y103" s="193"/>
      <c r="Z103" s="193"/>
      <c r="AA103" s="193"/>
      <c r="AB103" s="193"/>
      <c r="AC103" s="193"/>
      <c r="AD103" s="193"/>
      <c r="AE103" s="193"/>
      <c r="AF103" s="193"/>
      <c r="AG103" s="193"/>
      <c r="AH103" s="193"/>
      <c r="AI103" s="193"/>
      <c r="AJ103" s="193"/>
      <c r="AK103" s="193"/>
      <c r="AL103" s="193"/>
      <c r="AM103" s="193"/>
      <c r="AN103" s="193"/>
      <c r="AO103" s="193"/>
      <c r="AP103" s="193"/>
      <c r="AQ103" s="193"/>
      <c r="AR103" s="193"/>
      <c r="AS103" s="193"/>
      <c r="AT103" s="193"/>
      <c r="AU103" s="193"/>
      <c r="AV103" s="193"/>
      <c r="AW103" s="193"/>
      <c r="AX103" s="193"/>
      <c r="AY103" s="193"/>
      <c r="AZ103" s="193"/>
      <c r="BA103" s="193"/>
      <c r="BB103" s="193"/>
      <c r="BC103" s="193"/>
      <c r="BD103" s="193"/>
      <c r="BE103" s="193"/>
    </row>
    <row r="104" spans="1:57" x14ac:dyDescent="0.2">
      <c r="A104" s="279"/>
      <c r="B104" s="279"/>
      <c r="C104" s="275"/>
      <c r="D104" s="275"/>
      <c r="E104" s="193"/>
      <c r="F104" s="193"/>
      <c r="G104" s="193"/>
      <c r="H104" s="193"/>
      <c r="I104" s="193"/>
      <c r="J104" s="193"/>
      <c r="K104" s="193"/>
      <c r="L104" s="193"/>
      <c r="M104" s="193"/>
      <c r="N104" s="193"/>
      <c r="O104" s="193"/>
      <c r="P104" s="193"/>
      <c r="Q104" s="193"/>
      <c r="R104" s="193"/>
      <c r="S104" s="193"/>
      <c r="T104" s="193"/>
      <c r="U104" s="193"/>
      <c r="V104" s="193"/>
      <c r="W104" s="193"/>
      <c r="X104" s="193"/>
      <c r="Y104" s="193"/>
      <c r="Z104" s="193"/>
      <c r="AA104" s="193"/>
      <c r="AB104" s="193"/>
      <c r="AC104" s="193"/>
      <c r="AD104" s="193"/>
      <c r="AE104" s="193"/>
      <c r="AF104" s="193"/>
      <c r="AG104" s="193"/>
      <c r="AH104" s="193"/>
      <c r="AI104" s="193"/>
      <c r="AJ104" s="193"/>
      <c r="AK104" s="193"/>
      <c r="AL104" s="193"/>
      <c r="AM104" s="193"/>
      <c r="AN104" s="193"/>
      <c r="AO104" s="193"/>
      <c r="AP104" s="193"/>
      <c r="AQ104" s="193"/>
      <c r="AR104" s="193"/>
      <c r="AS104" s="193"/>
      <c r="AT104" s="193"/>
      <c r="AU104" s="193"/>
      <c r="AV104" s="193"/>
      <c r="AW104" s="193"/>
      <c r="AX104" s="193"/>
      <c r="AY104" s="193"/>
      <c r="AZ104" s="193"/>
      <c r="BA104" s="193"/>
      <c r="BB104" s="193"/>
      <c r="BC104" s="193"/>
      <c r="BD104" s="193"/>
      <c r="BE104" s="193"/>
    </row>
    <row r="105" spans="1:57" x14ac:dyDescent="0.2">
      <c r="A105" s="279"/>
      <c r="B105" s="279"/>
      <c r="C105" s="275"/>
      <c r="D105" s="275"/>
      <c r="E105" s="193"/>
      <c r="F105" s="193"/>
      <c r="G105" s="193"/>
      <c r="H105" s="193"/>
      <c r="I105" s="193"/>
      <c r="J105" s="193"/>
      <c r="K105" s="193"/>
      <c r="L105" s="193"/>
      <c r="M105" s="193"/>
      <c r="N105" s="193"/>
      <c r="O105" s="193"/>
      <c r="P105" s="193"/>
      <c r="Q105" s="193"/>
      <c r="R105" s="193"/>
      <c r="S105" s="193"/>
      <c r="T105" s="193"/>
      <c r="U105" s="193"/>
      <c r="V105" s="193"/>
      <c r="W105" s="193"/>
      <c r="X105" s="193"/>
      <c r="Y105" s="193"/>
      <c r="Z105" s="193"/>
      <c r="AA105" s="193"/>
      <c r="AB105" s="193"/>
      <c r="AC105" s="193"/>
      <c r="AD105" s="193"/>
      <c r="AE105" s="193"/>
      <c r="AF105" s="193"/>
      <c r="AG105" s="193"/>
      <c r="AH105" s="193"/>
      <c r="AI105" s="193"/>
      <c r="AJ105" s="193"/>
      <c r="AK105" s="193"/>
      <c r="AL105" s="193"/>
      <c r="AM105" s="193"/>
      <c r="AN105" s="193"/>
      <c r="AO105" s="193"/>
      <c r="AP105" s="193"/>
      <c r="AQ105" s="193"/>
      <c r="AR105" s="193"/>
      <c r="AS105" s="193"/>
      <c r="AT105" s="193"/>
      <c r="AU105" s="193"/>
      <c r="AV105" s="193"/>
      <c r="AW105" s="193"/>
      <c r="AX105" s="193"/>
      <c r="AY105" s="193"/>
      <c r="AZ105" s="193"/>
      <c r="BA105" s="193"/>
      <c r="BB105" s="193"/>
      <c r="BC105" s="193"/>
      <c r="BD105" s="193"/>
      <c r="BE105" s="193"/>
    </row>
    <row r="106" spans="1:57" x14ac:dyDescent="0.2">
      <c r="A106" s="279"/>
      <c r="B106" s="279"/>
      <c r="C106" s="275"/>
      <c r="D106" s="275"/>
      <c r="E106" s="193"/>
      <c r="F106" s="193"/>
      <c r="G106" s="193"/>
      <c r="H106" s="193"/>
      <c r="I106" s="193"/>
      <c r="J106" s="193"/>
      <c r="K106" s="193"/>
      <c r="L106" s="193"/>
      <c r="M106" s="193"/>
      <c r="N106" s="193"/>
      <c r="O106" s="193"/>
      <c r="P106" s="193"/>
      <c r="Q106" s="193"/>
      <c r="R106" s="193"/>
      <c r="S106" s="193"/>
      <c r="T106" s="193"/>
      <c r="U106" s="193"/>
      <c r="V106" s="193"/>
      <c r="W106" s="193"/>
      <c r="X106" s="193"/>
      <c r="Y106" s="193"/>
      <c r="Z106" s="193"/>
      <c r="AA106" s="193"/>
      <c r="AB106" s="193"/>
      <c r="AC106" s="193"/>
      <c r="AD106" s="193"/>
      <c r="AE106" s="193"/>
      <c r="AF106" s="193"/>
      <c r="AG106" s="193"/>
      <c r="AH106" s="193"/>
      <c r="AI106" s="193"/>
      <c r="AJ106" s="193"/>
      <c r="AK106" s="193"/>
      <c r="AL106" s="193"/>
      <c r="AM106" s="193"/>
      <c r="AN106" s="193"/>
      <c r="AO106" s="193"/>
      <c r="AP106" s="193"/>
      <c r="AQ106" s="193"/>
      <c r="AR106" s="193"/>
      <c r="AS106" s="193"/>
      <c r="AT106" s="193"/>
      <c r="AU106" s="193"/>
      <c r="AV106" s="193"/>
      <c r="AW106" s="193"/>
      <c r="AX106" s="193"/>
      <c r="AY106" s="193"/>
      <c r="AZ106" s="193"/>
      <c r="BA106" s="193"/>
      <c r="BB106" s="193"/>
      <c r="BC106" s="193"/>
      <c r="BD106" s="193"/>
      <c r="BE106" s="193"/>
    </row>
    <row r="107" spans="1:57" x14ac:dyDescent="0.2">
      <c r="A107" s="279"/>
      <c r="B107" s="279"/>
      <c r="C107" s="275"/>
      <c r="D107" s="275"/>
      <c r="E107" s="193"/>
      <c r="F107" s="193"/>
      <c r="G107" s="193"/>
      <c r="H107" s="193"/>
      <c r="I107" s="193"/>
      <c r="J107" s="193"/>
      <c r="K107" s="193"/>
      <c r="L107" s="193"/>
      <c r="M107" s="193"/>
      <c r="N107" s="193"/>
      <c r="O107" s="193"/>
      <c r="P107" s="193"/>
      <c r="Q107" s="193"/>
      <c r="R107" s="193"/>
      <c r="S107" s="193"/>
      <c r="T107" s="193"/>
      <c r="U107" s="193"/>
      <c r="V107" s="193"/>
      <c r="W107" s="193"/>
      <c r="X107" s="193"/>
      <c r="Y107" s="193"/>
      <c r="Z107" s="193"/>
      <c r="AA107" s="193"/>
      <c r="AB107" s="193"/>
      <c r="AC107" s="193"/>
      <c r="AD107" s="193"/>
      <c r="AE107" s="193"/>
      <c r="AF107" s="193"/>
      <c r="AG107" s="193"/>
      <c r="AH107" s="193"/>
      <c r="AI107" s="193"/>
      <c r="AJ107" s="193"/>
      <c r="AK107" s="193"/>
      <c r="AL107" s="193"/>
      <c r="AM107" s="193"/>
      <c r="AN107" s="193"/>
      <c r="AO107" s="193"/>
      <c r="AP107" s="193"/>
      <c r="AQ107" s="193"/>
      <c r="AR107" s="193"/>
      <c r="AS107" s="193"/>
      <c r="AT107" s="193"/>
      <c r="AU107" s="193"/>
      <c r="AV107" s="193"/>
      <c r="AW107" s="193"/>
      <c r="AX107" s="193"/>
      <c r="AY107" s="193"/>
      <c r="AZ107" s="193"/>
      <c r="BA107" s="193"/>
      <c r="BB107" s="193"/>
      <c r="BC107" s="193"/>
      <c r="BD107" s="193"/>
      <c r="BE107" s="193"/>
    </row>
    <row r="108" spans="1:57" x14ac:dyDescent="0.2">
      <c r="A108" s="279"/>
      <c r="B108" s="279"/>
      <c r="C108" s="275"/>
      <c r="D108" s="275"/>
      <c r="E108" s="193"/>
      <c r="F108" s="193"/>
      <c r="G108" s="193"/>
      <c r="H108" s="193"/>
      <c r="I108" s="193"/>
      <c r="J108" s="193"/>
      <c r="K108" s="193"/>
      <c r="L108" s="193"/>
      <c r="M108" s="193"/>
      <c r="N108" s="193"/>
      <c r="O108" s="193"/>
      <c r="P108" s="193"/>
      <c r="Q108" s="193"/>
      <c r="R108" s="193"/>
      <c r="S108" s="193"/>
      <c r="T108" s="193"/>
      <c r="U108" s="193"/>
      <c r="V108" s="193"/>
      <c r="W108" s="193"/>
      <c r="X108" s="193"/>
      <c r="Y108" s="193"/>
      <c r="Z108" s="193"/>
      <c r="AA108" s="193"/>
      <c r="AB108" s="193"/>
      <c r="AC108" s="193"/>
      <c r="AD108" s="193"/>
      <c r="AE108" s="193"/>
      <c r="AF108" s="193"/>
      <c r="AG108" s="193"/>
      <c r="AH108" s="193"/>
      <c r="AI108" s="193"/>
      <c r="AJ108" s="193"/>
      <c r="AK108" s="193"/>
      <c r="AL108" s="193"/>
      <c r="AM108" s="193"/>
      <c r="AN108" s="193"/>
      <c r="AO108" s="193"/>
      <c r="AP108" s="193"/>
      <c r="AQ108" s="193"/>
      <c r="AR108" s="193"/>
      <c r="AS108" s="193"/>
      <c r="AT108" s="193"/>
      <c r="AU108" s="193"/>
      <c r="AV108" s="193"/>
      <c r="AW108" s="193"/>
      <c r="AX108" s="193"/>
      <c r="AY108" s="193"/>
      <c r="AZ108" s="193"/>
      <c r="BA108" s="193"/>
      <c r="BB108" s="193"/>
      <c r="BC108" s="193"/>
      <c r="BD108" s="193"/>
      <c r="BE108" s="193"/>
    </row>
    <row r="109" spans="1:57" x14ac:dyDescent="0.2">
      <c r="A109" s="279"/>
      <c r="B109" s="279"/>
      <c r="C109" s="275"/>
      <c r="D109" s="275"/>
      <c r="E109" s="193"/>
      <c r="F109" s="193"/>
      <c r="G109" s="193"/>
      <c r="H109" s="193"/>
      <c r="I109" s="193"/>
      <c r="J109" s="193"/>
      <c r="K109" s="193"/>
      <c r="L109" s="193"/>
      <c r="M109" s="193"/>
      <c r="N109" s="193"/>
      <c r="O109" s="193"/>
      <c r="P109" s="193"/>
      <c r="Q109" s="193"/>
      <c r="R109" s="193"/>
      <c r="S109" s="193"/>
      <c r="T109" s="193"/>
      <c r="U109" s="193"/>
      <c r="V109" s="193"/>
      <c r="W109" s="193"/>
      <c r="X109" s="193"/>
      <c r="Y109" s="193"/>
      <c r="Z109" s="193"/>
      <c r="AA109" s="193"/>
      <c r="AB109" s="193"/>
      <c r="AC109" s="193"/>
      <c r="AD109" s="193"/>
      <c r="AE109" s="193"/>
      <c r="AF109" s="193"/>
      <c r="AG109" s="193"/>
      <c r="AH109" s="193"/>
      <c r="AI109" s="193"/>
      <c r="AJ109" s="193"/>
      <c r="AK109" s="193"/>
      <c r="AL109" s="193"/>
      <c r="AM109" s="193"/>
      <c r="AN109" s="193"/>
      <c r="AO109" s="193"/>
      <c r="AP109" s="193"/>
      <c r="AQ109" s="193"/>
      <c r="AR109" s="193"/>
      <c r="AS109" s="193"/>
      <c r="AT109" s="193"/>
      <c r="AU109" s="193"/>
      <c r="AV109" s="193"/>
      <c r="AW109" s="193"/>
      <c r="AX109" s="193"/>
      <c r="AY109" s="193"/>
      <c r="AZ109" s="193"/>
      <c r="BA109" s="193"/>
      <c r="BB109" s="193"/>
      <c r="BC109" s="193"/>
      <c r="BD109" s="193"/>
      <c r="BE109" s="193"/>
    </row>
    <row r="110" spans="1:57" x14ac:dyDescent="0.2">
      <c r="A110" s="279"/>
      <c r="B110" s="279"/>
      <c r="C110" s="275"/>
      <c r="D110" s="275"/>
      <c r="E110" s="193"/>
      <c r="F110" s="193"/>
      <c r="G110" s="193"/>
      <c r="H110" s="193"/>
      <c r="I110" s="193"/>
      <c r="J110" s="193"/>
      <c r="K110" s="193"/>
      <c r="L110" s="193"/>
      <c r="M110" s="193"/>
      <c r="N110" s="193"/>
      <c r="O110" s="193"/>
      <c r="P110" s="193"/>
      <c r="Q110" s="193"/>
      <c r="R110" s="193"/>
      <c r="S110" s="193"/>
      <c r="T110" s="193"/>
      <c r="U110" s="193"/>
      <c r="V110" s="193"/>
      <c r="W110" s="193"/>
      <c r="X110" s="193"/>
      <c r="Y110" s="193"/>
      <c r="Z110" s="193"/>
      <c r="AA110" s="193"/>
      <c r="AB110" s="193"/>
      <c r="AC110" s="193"/>
      <c r="AD110" s="193"/>
      <c r="AE110" s="193"/>
      <c r="AF110" s="193"/>
      <c r="AG110" s="193"/>
      <c r="AH110" s="193"/>
      <c r="AI110" s="193"/>
      <c r="AJ110" s="193"/>
      <c r="AK110" s="193"/>
      <c r="AL110" s="193"/>
      <c r="AM110" s="193"/>
      <c r="AN110" s="193"/>
      <c r="AO110" s="193"/>
      <c r="AP110" s="193"/>
      <c r="AQ110" s="193"/>
      <c r="AR110" s="193"/>
      <c r="AS110" s="193"/>
      <c r="AT110" s="193"/>
      <c r="AU110" s="193"/>
      <c r="AV110" s="193"/>
      <c r="AW110" s="193"/>
      <c r="AX110" s="193"/>
      <c r="AY110" s="193"/>
      <c r="AZ110" s="193"/>
      <c r="BA110" s="193"/>
      <c r="BB110" s="193"/>
      <c r="BC110" s="193"/>
      <c r="BD110" s="193"/>
      <c r="BE110" s="193"/>
    </row>
    <row r="111" spans="1:57" x14ac:dyDescent="0.2">
      <c r="A111" s="279"/>
      <c r="B111" s="279"/>
      <c r="C111" s="275"/>
      <c r="D111" s="275"/>
      <c r="E111" s="193"/>
      <c r="F111" s="193"/>
      <c r="G111" s="193"/>
      <c r="H111" s="193"/>
      <c r="I111" s="193"/>
      <c r="J111" s="193"/>
      <c r="K111" s="193"/>
      <c r="L111" s="193"/>
      <c r="M111" s="193"/>
      <c r="N111" s="193"/>
      <c r="O111" s="193"/>
      <c r="P111" s="193"/>
      <c r="Q111" s="193"/>
      <c r="R111" s="193"/>
      <c r="S111" s="193"/>
      <c r="T111" s="193"/>
      <c r="U111" s="193"/>
      <c r="V111" s="193"/>
      <c r="W111" s="193"/>
      <c r="X111" s="193"/>
      <c r="Y111" s="193"/>
      <c r="Z111" s="193"/>
      <c r="AA111" s="193"/>
      <c r="AB111" s="193"/>
      <c r="AC111" s="193"/>
      <c r="AD111" s="193"/>
      <c r="AE111" s="193"/>
      <c r="AF111" s="193"/>
      <c r="AG111" s="193"/>
      <c r="AH111" s="193"/>
      <c r="AI111" s="193"/>
      <c r="AJ111" s="193"/>
      <c r="AK111" s="193"/>
      <c r="AL111" s="193"/>
      <c r="AM111" s="193"/>
      <c r="AN111" s="193"/>
      <c r="AO111" s="193"/>
      <c r="AP111" s="193"/>
      <c r="AQ111" s="193"/>
      <c r="AR111" s="193"/>
      <c r="AS111" s="193"/>
      <c r="AT111" s="193"/>
      <c r="AU111" s="193"/>
      <c r="AV111" s="193"/>
      <c r="AW111" s="193"/>
      <c r="AX111" s="193"/>
      <c r="AY111" s="193"/>
      <c r="AZ111" s="193"/>
      <c r="BA111" s="193"/>
      <c r="BB111" s="193"/>
      <c r="BC111" s="193"/>
      <c r="BD111" s="193"/>
      <c r="BE111" s="193"/>
    </row>
    <row r="112" spans="1:57" x14ac:dyDescent="0.2">
      <c r="A112" s="279"/>
      <c r="B112" s="279"/>
      <c r="C112" s="275"/>
      <c r="D112" s="275"/>
      <c r="E112" s="193"/>
      <c r="F112" s="193"/>
      <c r="G112" s="193"/>
      <c r="H112" s="193"/>
      <c r="I112" s="193"/>
      <c r="J112" s="193"/>
      <c r="K112" s="193"/>
      <c r="L112" s="193"/>
      <c r="M112" s="193"/>
      <c r="N112" s="193"/>
      <c r="O112" s="193"/>
      <c r="P112" s="193"/>
      <c r="Q112" s="193"/>
      <c r="R112" s="193"/>
      <c r="S112" s="193"/>
      <c r="T112" s="193"/>
      <c r="U112" s="193"/>
      <c r="V112" s="193"/>
      <c r="W112" s="193"/>
      <c r="X112" s="193"/>
      <c r="Y112" s="193"/>
      <c r="Z112" s="193"/>
      <c r="AA112" s="193"/>
      <c r="AB112" s="193"/>
      <c r="AC112" s="193"/>
      <c r="AD112" s="193"/>
      <c r="AE112" s="193"/>
      <c r="AF112" s="193"/>
      <c r="AG112" s="193"/>
      <c r="AH112" s="193"/>
      <c r="AI112" s="193"/>
      <c r="AJ112" s="193"/>
      <c r="AK112" s="193"/>
      <c r="AL112" s="193"/>
      <c r="AM112" s="193"/>
      <c r="AN112" s="193"/>
      <c r="AO112" s="193"/>
      <c r="AP112" s="193"/>
      <c r="AQ112" s="193"/>
      <c r="AR112" s="193"/>
      <c r="AS112" s="193"/>
      <c r="AT112" s="193"/>
      <c r="AU112" s="193"/>
      <c r="AV112" s="193"/>
      <c r="AW112" s="193"/>
      <c r="AX112" s="193"/>
      <c r="AY112" s="193"/>
      <c r="AZ112" s="193"/>
      <c r="BA112" s="193"/>
      <c r="BB112" s="279"/>
      <c r="BC112" s="193"/>
      <c r="BD112" s="193"/>
      <c r="BE112" s="193"/>
    </row>
    <row r="113" spans="1:57" x14ac:dyDescent="0.2">
      <c r="A113" s="279"/>
      <c r="B113" s="279"/>
      <c r="C113" s="275"/>
      <c r="D113" s="275"/>
      <c r="E113" s="193"/>
      <c r="F113" s="193"/>
      <c r="G113" s="193"/>
      <c r="H113" s="193"/>
      <c r="I113" s="193"/>
      <c r="J113" s="193"/>
      <c r="K113" s="193"/>
      <c r="L113" s="193"/>
      <c r="M113" s="193"/>
      <c r="N113" s="193"/>
      <c r="O113" s="193"/>
      <c r="P113" s="193"/>
      <c r="Q113" s="193"/>
      <c r="R113" s="193"/>
      <c r="S113" s="193"/>
      <c r="T113" s="193"/>
      <c r="U113" s="193"/>
      <c r="V113" s="193"/>
      <c r="W113" s="193"/>
      <c r="X113" s="193"/>
      <c r="Y113" s="193"/>
      <c r="Z113" s="193"/>
      <c r="AA113" s="193"/>
      <c r="AB113" s="193"/>
      <c r="AC113" s="193"/>
      <c r="AD113" s="193"/>
      <c r="AE113" s="193"/>
      <c r="AF113" s="193"/>
      <c r="AG113" s="193"/>
      <c r="AH113" s="193"/>
      <c r="AI113" s="193"/>
      <c r="AJ113" s="193"/>
      <c r="AK113" s="193"/>
      <c r="AL113" s="193"/>
      <c r="AM113" s="193"/>
      <c r="AN113" s="193"/>
      <c r="AO113" s="193"/>
      <c r="AP113" s="193"/>
      <c r="AQ113" s="193"/>
      <c r="AR113" s="193"/>
      <c r="AS113" s="193"/>
      <c r="AT113" s="193"/>
      <c r="AU113" s="193"/>
      <c r="AV113" s="193"/>
      <c r="AW113" s="193"/>
      <c r="AX113" s="193"/>
      <c r="AY113" s="193"/>
      <c r="AZ113" s="193"/>
      <c r="BA113" s="193"/>
      <c r="BB113" s="279"/>
      <c r="BC113" s="279"/>
      <c r="BD113" s="193"/>
      <c r="BE113" s="193"/>
    </row>
    <row r="114" spans="1:57" x14ac:dyDescent="0.2">
      <c r="A114" s="279"/>
      <c r="B114" s="279"/>
      <c r="C114" s="275"/>
      <c r="D114" s="275"/>
      <c r="E114" s="193"/>
      <c r="F114" s="193"/>
      <c r="G114" s="193"/>
      <c r="H114" s="193"/>
      <c r="I114" s="193"/>
      <c r="J114" s="193"/>
      <c r="K114" s="193"/>
      <c r="L114" s="193"/>
      <c r="M114" s="193"/>
      <c r="N114" s="193"/>
      <c r="O114" s="193"/>
      <c r="P114" s="193"/>
      <c r="Q114" s="193"/>
      <c r="R114" s="193"/>
      <c r="S114" s="193"/>
      <c r="T114" s="193"/>
      <c r="U114" s="193"/>
      <c r="V114" s="193"/>
      <c r="W114" s="193"/>
      <c r="X114" s="193"/>
      <c r="Y114" s="193"/>
      <c r="Z114" s="193"/>
      <c r="AA114" s="193"/>
      <c r="AB114" s="193"/>
      <c r="AC114" s="193"/>
      <c r="AD114" s="193"/>
      <c r="AE114" s="193"/>
      <c r="AF114" s="193"/>
      <c r="AG114" s="193"/>
      <c r="AH114" s="193"/>
      <c r="AI114" s="193"/>
      <c r="AJ114" s="193"/>
      <c r="AK114" s="193"/>
      <c r="AL114" s="193"/>
      <c r="AM114" s="193"/>
      <c r="AN114" s="193"/>
      <c r="AO114" s="193"/>
      <c r="AP114" s="193"/>
      <c r="AQ114" s="193"/>
      <c r="AR114" s="193"/>
      <c r="AS114" s="193"/>
      <c r="AT114" s="193"/>
      <c r="AU114" s="193"/>
      <c r="AV114" s="193"/>
      <c r="AW114" s="193"/>
      <c r="AX114" s="193"/>
      <c r="AY114" s="193"/>
      <c r="AZ114" s="193"/>
      <c r="BA114" s="193"/>
      <c r="BB114" s="279"/>
      <c r="BC114" s="193"/>
      <c r="BD114" s="193"/>
      <c r="BE114" s="193"/>
    </row>
    <row r="115" spans="1:57" x14ac:dyDescent="0.2">
      <c r="A115" s="279"/>
      <c r="B115" s="279"/>
      <c r="C115" s="275"/>
      <c r="D115" s="275"/>
      <c r="E115" s="193"/>
      <c r="F115" s="193"/>
      <c r="G115" s="193"/>
      <c r="H115" s="193"/>
      <c r="I115" s="193"/>
      <c r="J115" s="193"/>
      <c r="K115" s="193"/>
      <c r="L115" s="193"/>
      <c r="M115" s="193"/>
      <c r="N115" s="193"/>
      <c r="O115" s="193"/>
      <c r="P115" s="193"/>
      <c r="Q115" s="193"/>
      <c r="R115" s="193"/>
      <c r="S115" s="193"/>
      <c r="T115" s="193"/>
      <c r="U115" s="193"/>
      <c r="V115" s="193"/>
      <c r="W115" s="193"/>
      <c r="X115" s="193"/>
      <c r="Y115" s="193"/>
      <c r="Z115" s="193"/>
      <c r="AA115" s="193"/>
      <c r="AB115" s="193"/>
      <c r="AC115" s="193"/>
      <c r="AD115" s="193"/>
      <c r="AE115" s="193"/>
      <c r="AF115" s="193"/>
      <c r="AG115" s="193"/>
      <c r="AH115" s="193"/>
      <c r="AI115" s="193"/>
      <c r="AJ115" s="193"/>
      <c r="AK115" s="193"/>
      <c r="AL115" s="193"/>
      <c r="AM115" s="193"/>
      <c r="AN115" s="193"/>
      <c r="AO115" s="193"/>
      <c r="AP115" s="193"/>
      <c r="AQ115" s="193"/>
      <c r="AR115" s="193"/>
      <c r="AS115" s="193"/>
      <c r="AT115" s="193"/>
      <c r="AU115" s="193"/>
      <c r="AV115" s="193"/>
      <c r="AW115" s="193"/>
      <c r="AX115" s="193"/>
      <c r="AY115" s="193"/>
      <c r="AZ115" s="193"/>
      <c r="BA115" s="193"/>
      <c r="BB115" s="279"/>
      <c r="BC115" s="193"/>
      <c r="BD115" s="193"/>
      <c r="BE115" s="193"/>
    </row>
    <row r="116" spans="1:57" x14ac:dyDescent="0.2">
      <c r="A116" s="279"/>
      <c r="B116" s="279"/>
      <c r="C116" s="275"/>
      <c r="D116" s="275"/>
      <c r="E116" s="193"/>
      <c r="F116" s="193"/>
      <c r="G116" s="193"/>
      <c r="H116" s="193"/>
      <c r="I116" s="193"/>
      <c r="J116" s="193"/>
      <c r="K116" s="193"/>
      <c r="L116" s="193"/>
      <c r="M116" s="193"/>
      <c r="N116" s="193"/>
      <c r="O116" s="193"/>
      <c r="P116" s="193"/>
      <c r="Q116" s="193"/>
      <c r="R116" s="193"/>
      <c r="S116" s="193"/>
      <c r="T116" s="193"/>
      <c r="U116" s="193"/>
      <c r="V116" s="193"/>
      <c r="W116" s="193"/>
      <c r="X116" s="193"/>
      <c r="Y116" s="193"/>
      <c r="Z116" s="193"/>
      <c r="AA116" s="193"/>
      <c r="AB116" s="193"/>
      <c r="AC116" s="193"/>
      <c r="AD116" s="193"/>
      <c r="AE116" s="193"/>
      <c r="AF116" s="193"/>
      <c r="AG116" s="193"/>
      <c r="AH116" s="193"/>
      <c r="AI116" s="193"/>
      <c r="AJ116" s="193"/>
      <c r="AK116" s="193"/>
      <c r="AL116" s="193"/>
      <c r="AM116" s="193"/>
      <c r="AN116" s="193"/>
      <c r="AO116" s="193"/>
      <c r="AP116" s="193"/>
      <c r="AQ116" s="193"/>
      <c r="AR116" s="193"/>
      <c r="AS116" s="193"/>
      <c r="AT116" s="193"/>
      <c r="AU116" s="193"/>
      <c r="AV116" s="193"/>
      <c r="AW116" s="193"/>
      <c r="AX116" s="193"/>
      <c r="AY116" s="193"/>
      <c r="AZ116" s="193"/>
      <c r="BA116" s="193"/>
      <c r="BB116" s="279"/>
      <c r="BC116" s="193"/>
      <c r="BD116" s="193"/>
      <c r="BE116" s="193"/>
    </row>
    <row r="117" spans="1:57" x14ac:dyDescent="0.2">
      <c r="A117" s="279"/>
      <c r="B117" s="279"/>
      <c r="C117" s="275"/>
      <c r="D117" s="275"/>
      <c r="E117" s="193"/>
      <c r="F117" s="193"/>
      <c r="G117" s="193"/>
      <c r="H117" s="193"/>
      <c r="I117" s="193"/>
      <c r="J117" s="193"/>
      <c r="K117" s="193"/>
      <c r="L117" s="193"/>
      <c r="M117" s="193"/>
      <c r="N117" s="193"/>
      <c r="O117" s="193"/>
      <c r="P117" s="193"/>
      <c r="Q117" s="193"/>
      <c r="R117" s="193"/>
      <c r="S117" s="193"/>
      <c r="T117" s="193"/>
      <c r="U117" s="193"/>
      <c r="V117" s="193"/>
      <c r="W117" s="193"/>
      <c r="X117" s="193"/>
      <c r="Y117" s="193"/>
      <c r="Z117" s="193"/>
      <c r="AA117" s="193"/>
      <c r="AB117" s="193"/>
      <c r="AC117" s="193"/>
      <c r="AD117" s="193"/>
      <c r="AE117" s="193"/>
      <c r="AF117" s="193"/>
      <c r="AG117" s="193"/>
      <c r="AH117" s="193"/>
      <c r="AI117" s="193"/>
      <c r="AJ117" s="193"/>
      <c r="AK117" s="193"/>
      <c r="AL117" s="193"/>
      <c r="AM117" s="193"/>
      <c r="AN117" s="193"/>
      <c r="AO117" s="193"/>
      <c r="AP117" s="193"/>
      <c r="AQ117" s="193"/>
      <c r="AR117" s="193"/>
      <c r="AS117" s="193"/>
      <c r="AT117" s="193"/>
      <c r="AU117" s="193"/>
      <c r="AV117" s="193"/>
      <c r="AW117" s="193"/>
      <c r="AX117" s="193"/>
      <c r="AY117" s="193"/>
      <c r="AZ117" s="193"/>
      <c r="BA117" s="193"/>
      <c r="BB117" s="284"/>
      <c r="BC117" s="193"/>
      <c r="BD117" s="193"/>
      <c r="BE117" s="193"/>
    </row>
    <row r="118" spans="1:57" x14ac:dyDescent="0.2">
      <c r="A118" s="279"/>
      <c r="B118" s="279"/>
      <c r="C118" s="275"/>
      <c r="D118" s="275"/>
      <c r="E118" s="193"/>
      <c r="F118" s="193"/>
      <c r="G118" s="193"/>
      <c r="H118" s="193"/>
      <c r="I118" s="193"/>
      <c r="J118" s="193"/>
      <c r="K118" s="193"/>
      <c r="L118" s="193"/>
      <c r="M118" s="193"/>
      <c r="N118" s="193"/>
      <c r="O118" s="193"/>
      <c r="P118" s="193"/>
      <c r="Q118" s="193"/>
      <c r="R118" s="193"/>
      <c r="S118" s="193"/>
      <c r="T118" s="193"/>
      <c r="U118" s="193"/>
      <c r="V118" s="193"/>
      <c r="W118" s="193"/>
      <c r="X118" s="193"/>
      <c r="Y118" s="193"/>
      <c r="Z118" s="193"/>
      <c r="AA118" s="193"/>
      <c r="AB118" s="193"/>
      <c r="AC118" s="193"/>
      <c r="AD118" s="193"/>
      <c r="AE118" s="193"/>
      <c r="AF118" s="193"/>
      <c r="AG118" s="193"/>
      <c r="AH118" s="193"/>
      <c r="AI118" s="193"/>
      <c r="AJ118" s="193"/>
      <c r="AK118" s="193"/>
      <c r="AL118" s="193"/>
      <c r="AM118" s="193"/>
      <c r="AN118" s="193"/>
      <c r="AO118" s="193"/>
      <c r="AP118" s="193"/>
      <c r="AQ118" s="193"/>
      <c r="AR118" s="193"/>
      <c r="AS118" s="193"/>
      <c r="AT118" s="193"/>
      <c r="AU118" s="193"/>
      <c r="AV118" s="193"/>
      <c r="AW118" s="193"/>
      <c r="AX118" s="193"/>
      <c r="AY118" s="193"/>
      <c r="AZ118" s="193"/>
      <c r="BA118" s="193"/>
      <c r="BB118" s="193"/>
      <c r="BC118" s="193"/>
      <c r="BD118" s="193"/>
      <c r="BE118" s="193"/>
    </row>
    <row r="119" spans="1:57" x14ac:dyDescent="0.2">
      <c r="A119" s="279"/>
      <c r="B119" s="279"/>
      <c r="C119" s="275"/>
      <c r="D119" s="275"/>
      <c r="E119" s="193"/>
      <c r="F119" s="193"/>
      <c r="G119" s="193"/>
      <c r="H119" s="193"/>
      <c r="I119" s="193"/>
      <c r="J119" s="193"/>
      <c r="K119" s="193"/>
      <c r="L119" s="193"/>
      <c r="M119" s="193"/>
      <c r="N119" s="193"/>
      <c r="O119" s="193"/>
      <c r="P119" s="193"/>
      <c r="Q119" s="193"/>
      <c r="R119" s="193"/>
      <c r="S119" s="193"/>
      <c r="T119" s="193"/>
      <c r="U119" s="193"/>
      <c r="V119" s="193"/>
      <c r="W119" s="193"/>
      <c r="X119" s="193"/>
      <c r="Y119" s="193"/>
      <c r="Z119" s="193"/>
      <c r="AA119" s="193"/>
      <c r="AB119" s="193"/>
      <c r="AC119" s="193"/>
      <c r="AD119" s="193"/>
      <c r="AE119" s="193"/>
      <c r="AF119" s="193"/>
      <c r="AG119" s="193"/>
      <c r="AH119" s="193"/>
      <c r="AI119" s="193"/>
      <c r="AJ119" s="193"/>
      <c r="AK119" s="193"/>
      <c r="AL119" s="193"/>
      <c r="AM119" s="193"/>
      <c r="AN119" s="193"/>
      <c r="AO119" s="193"/>
      <c r="AP119" s="193"/>
      <c r="AQ119" s="193"/>
      <c r="AR119" s="193"/>
      <c r="AS119" s="193"/>
      <c r="AT119" s="193"/>
      <c r="AU119" s="193"/>
      <c r="AV119" s="193"/>
      <c r="AW119" s="193"/>
      <c r="AX119" s="193"/>
      <c r="AY119" s="193"/>
      <c r="AZ119" s="193"/>
      <c r="BA119" s="193"/>
      <c r="BB119" s="193"/>
      <c r="BC119" s="193"/>
      <c r="BD119" s="193"/>
      <c r="BE119" s="193"/>
    </row>
    <row r="120" spans="1:57" x14ac:dyDescent="0.2">
      <c r="A120" s="279"/>
      <c r="B120" s="279"/>
      <c r="C120" s="275"/>
      <c r="D120" s="275"/>
      <c r="E120" s="193"/>
      <c r="F120" s="193"/>
      <c r="G120" s="193"/>
      <c r="H120" s="193"/>
      <c r="I120" s="193"/>
      <c r="J120" s="193"/>
      <c r="K120" s="193"/>
      <c r="L120" s="193"/>
      <c r="M120" s="193"/>
      <c r="N120" s="193"/>
      <c r="O120" s="193"/>
      <c r="P120" s="193"/>
      <c r="Q120" s="193"/>
      <c r="R120" s="193"/>
      <c r="S120" s="193"/>
      <c r="T120" s="193"/>
      <c r="U120" s="193"/>
      <c r="V120" s="193"/>
      <c r="W120" s="193"/>
      <c r="X120" s="193"/>
      <c r="Y120" s="193"/>
      <c r="Z120" s="193"/>
      <c r="AA120" s="193"/>
      <c r="AB120" s="193"/>
      <c r="AC120" s="193"/>
      <c r="AD120" s="193"/>
      <c r="AE120" s="193"/>
      <c r="AF120" s="193"/>
      <c r="AG120" s="193"/>
      <c r="AH120" s="193"/>
      <c r="AI120" s="193"/>
      <c r="AJ120" s="193"/>
      <c r="AK120" s="193"/>
      <c r="AL120" s="193"/>
      <c r="AM120" s="193"/>
      <c r="AN120" s="193"/>
      <c r="AO120" s="193"/>
      <c r="AP120" s="193"/>
      <c r="AQ120" s="193"/>
      <c r="AR120" s="193"/>
      <c r="AS120" s="193"/>
      <c r="AT120" s="193"/>
      <c r="AU120" s="193"/>
      <c r="AV120" s="193"/>
      <c r="AW120" s="193"/>
      <c r="AX120" s="193"/>
      <c r="AY120" s="193"/>
      <c r="AZ120" s="193"/>
      <c r="BA120" s="193"/>
      <c r="BB120" s="193"/>
      <c r="BC120" s="193"/>
      <c r="BD120" s="193"/>
      <c r="BE120" s="193"/>
    </row>
    <row r="121" spans="1:57" x14ac:dyDescent="0.2">
      <c r="A121" s="279"/>
      <c r="B121" s="279"/>
      <c r="C121" s="275"/>
      <c r="D121" s="275"/>
      <c r="E121" s="193"/>
      <c r="F121" s="193"/>
      <c r="G121" s="193"/>
      <c r="H121" s="193"/>
      <c r="I121" s="193"/>
      <c r="J121" s="193"/>
      <c r="K121" s="193"/>
      <c r="L121" s="193"/>
      <c r="M121" s="193"/>
      <c r="N121" s="193"/>
      <c r="O121" s="193"/>
      <c r="P121" s="193"/>
      <c r="Q121" s="193"/>
      <c r="R121" s="193"/>
      <c r="S121" s="193"/>
      <c r="T121" s="193"/>
      <c r="U121" s="193"/>
      <c r="V121" s="193"/>
      <c r="W121" s="193"/>
      <c r="X121" s="193"/>
      <c r="Y121" s="193"/>
      <c r="Z121" s="193"/>
      <c r="AA121" s="193"/>
      <c r="AB121" s="193"/>
      <c r="AC121" s="193"/>
      <c r="AD121" s="193"/>
      <c r="AE121" s="193"/>
      <c r="AF121" s="193"/>
      <c r="AG121" s="193"/>
      <c r="AH121" s="193"/>
      <c r="AI121" s="193"/>
      <c r="AJ121" s="193"/>
      <c r="AK121" s="193"/>
      <c r="AL121" s="193"/>
      <c r="AM121" s="193"/>
      <c r="AN121" s="193"/>
      <c r="AO121" s="193"/>
      <c r="AP121" s="193"/>
      <c r="AQ121" s="193"/>
      <c r="AR121" s="193"/>
      <c r="AS121" s="193"/>
      <c r="AT121" s="193"/>
      <c r="AU121" s="193"/>
      <c r="AV121" s="193"/>
      <c r="AW121" s="193"/>
      <c r="AX121" s="193"/>
      <c r="AY121" s="193"/>
      <c r="AZ121" s="193"/>
      <c r="BA121" s="193"/>
      <c r="BB121" s="193"/>
      <c r="BC121" s="193"/>
      <c r="BD121" s="193"/>
      <c r="BE121" s="193"/>
    </row>
    <row r="122" spans="1:57" x14ac:dyDescent="0.2">
      <c r="A122" s="279"/>
      <c r="B122" s="279"/>
      <c r="C122" s="275"/>
      <c r="D122" s="275"/>
      <c r="E122" s="193"/>
      <c r="F122" s="193"/>
      <c r="G122" s="193"/>
      <c r="H122" s="193"/>
      <c r="I122" s="193"/>
      <c r="J122" s="193"/>
      <c r="K122" s="193"/>
      <c r="L122" s="193"/>
      <c r="M122" s="193"/>
      <c r="N122" s="193"/>
      <c r="O122" s="193"/>
      <c r="P122" s="193"/>
      <c r="Q122" s="193"/>
      <c r="R122" s="193"/>
      <c r="S122" s="193"/>
      <c r="T122" s="193"/>
      <c r="U122" s="193"/>
      <c r="V122" s="193"/>
      <c r="W122" s="193"/>
      <c r="X122" s="193"/>
      <c r="Y122" s="193"/>
      <c r="Z122" s="193"/>
      <c r="AA122" s="193"/>
      <c r="AB122" s="193"/>
      <c r="AC122" s="193"/>
      <c r="AD122" s="193"/>
      <c r="AE122" s="193"/>
      <c r="AF122" s="193"/>
      <c r="AG122" s="193"/>
      <c r="AH122" s="193"/>
      <c r="AI122" s="193"/>
      <c r="AJ122" s="193"/>
      <c r="AK122" s="193"/>
      <c r="AL122" s="193"/>
      <c r="AM122" s="193"/>
      <c r="AN122" s="193"/>
      <c r="AO122" s="193"/>
      <c r="AP122" s="193"/>
      <c r="AQ122" s="193"/>
      <c r="AR122" s="193"/>
      <c r="AS122" s="193"/>
      <c r="AT122" s="193"/>
      <c r="AU122" s="193"/>
      <c r="AV122" s="193"/>
      <c r="AW122" s="193"/>
      <c r="AX122" s="193"/>
      <c r="AY122" s="193"/>
      <c r="AZ122" s="193"/>
      <c r="BA122" s="193"/>
      <c r="BB122" s="193"/>
      <c r="BC122" s="193"/>
      <c r="BD122" s="193"/>
      <c r="BE122" s="193"/>
    </row>
    <row r="123" spans="1:57" x14ac:dyDescent="0.2">
      <c r="A123" s="279"/>
      <c r="B123" s="279"/>
      <c r="C123" s="275"/>
      <c r="D123" s="275"/>
      <c r="E123" s="193"/>
      <c r="F123" s="193"/>
      <c r="G123" s="193"/>
      <c r="H123" s="193"/>
      <c r="I123" s="193"/>
      <c r="J123" s="193"/>
      <c r="K123" s="193"/>
      <c r="L123" s="193"/>
      <c r="M123" s="193"/>
      <c r="N123" s="193"/>
      <c r="O123" s="193"/>
      <c r="P123" s="193"/>
      <c r="Q123" s="193"/>
      <c r="R123" s="193"/>
      <c r="S123" s="193"/>
      <c r="T123" s="193"/>
      <c r="U123" s="193"/>
      <c r="V123" s="193"/>
      <c r="W123" s="193"/>
      <c r="X123" s="193"/>
      <c r="Y123" s="193"/>
      <c r="Z123" s="193"/>
      <c r="AA123" s="193"/>
      <c r="AB123" s="193"/>
      <c r="AC123" s="193"/>
      <c r="AD123" s="193"/>
      <c r="AE123" s="193"/>
      <c r="AF123" s="193"/>
      <c r="AG123" s="193"/>
      <c r="AH123" s="193"/>
      <c r="AI123" s="193"/>
      <c r="AJ123" s="193"/>
      <c r="AK123" s="193"/>
      <c r="AL123" s="193"/>
      <c r="AM123" s="193"/>
      <c r="AN123" s="193"/>
      <c r="AO123" s="193"/>
      <c r="AP123" s="193"/>
      <c r="AQ123" s="193"/>
      <c r="AR123" s="193"/>
      <c r="AS123" s="193"/>
      <c r="AT123" s="193"/>
      <c r="AU123" s="193"/>
      <c r="AV123" s="193"/>
      <c r="AW123" s="193"/>
      <c r="AX123" s="193"/>
      <c r="AY123" s="193"/>
      <c r="AZ123" s="193"/>
      <c r="BA123" s="193"/>
      <c r="BB123" s="193"/>
      <c r="BC123" s="193"/>
      <c r="BD123" s="193"/>
      <c r="BE123" s="193"/>
    </row>
    <row r="124" spans="1:57" x14ac:dyDescent="0.2">
      <c r="A124" s="279"/>
      <c r="B124" s="279"/>
      <c r="C124" s="275"/>
      <c r="D124" s="275"/>
      <c r="E124" s="193"/>
      <c r="F124" s="193"/>
      <c r="G124" s="193"/>
      <c r="H124" s="193"/>
      <c r="I124" s="193"/>
      <c r="J124" s="193"/>
      <c r="K124" s="193"/>
      <c r="L124" s="193"/>
      <c r="M124" s="193"/>
      <c r="N124" s="193"/>
      <c r="O124" s="193"/>
      <c r="P124" s="193"/>
      <c r="Q124" s="193"/>
      <c r="R124" s="193"/>
      <c r="S124" s="193"/>
      <c r="T124" s="193"/>
      <c r="U124" s="193"/>
      <c r="V124" s="193"/>
      <c r="W124" s="193"/>
      <c r="X124" s="193"/>
      <c r="Y124" s="193"/>
      <c r="Z124" s="193"/>
      <c r="AA124" s="193"/>
      <c r="AB124" s="193"/>
      <c r="AC124" s="193"/>
      <c r="AD124" s="193"/>
      <c r="AE124" s="193"/>
      <c r="AF124" s="193"/>
      <c r="AG124" s="193"/>
      <c r="AH124" s="193"/>
      <c r="AI124" s="193"/>
      <c r="AJ124" s="193"/>
      <c r="AK124" s="193"/>
      <c r="AL124" s="193"/>
      <c r="AM124" s="193"/>
      <c r="AN124" s="193"/>
      <c r="AO124" s="193"/>
      <c r="AP124" s="193"/>
      <c r="AQ124" s="193"/>
      <c r="AR124" s="193"/>
      <c r="AS124" s="193"/>
      <c r="AT124" s="193"/>
      <c r="AU124" s="193"/>
      <c r="AV124" s="193"/>
      <c r="AW124" s="193"/>
      <c r="AX124" s="193"/>
      <c r="AY124" s="193"/>
      <c r="AZ124" s="193"/>
      <c r="BA124" s="193"/>
      <c r="BB124" s="193"/>
      <c r="BC124" s="193"/>
      <c r="BD124" s="193"/>
      <c r="BE124" s="193"/>
    </row>
    <row r="125" spans="1:57" x14ac:dyDescent="0.2">
      <c r="A125" s="279"/>
      <c r="B125" s="279"/>
      <c r="C125" s="275"/>
      <c r="D125" s="275"/>
      <c r="E125" s="193"/>
      <c r="F125" s="193"/>
      <c r="G125" s="193"/>
      <c r="H125" s="193"/>
      <c r="I125" s="193"/>
      <c r="J125" s="193"/>
      <c r="K125" s="193"/>
      <c r="L125" s="193"/>
      <c r="M125" s="193"/>
      <c r="N125" s="193"/>
      <c r="O125" s="193"/>
      <c r="P125" s="193"/>
      <c r="Q125" s="193"/>
      <c r="R125" s="193"/>
      <c r="S125" s="193"/>
      <c r="T125" s="193"/>
      <c r="U125" s="193"/>
      <c r="V125" s="193"/>
      <c r="W125" s="193"/>
      <c r="X125" s="193"/>
      <c r="Y125" s="193"/>
      <c r="Z125" s="193"/>
      <c r="AA125" s="193"/>
      <c r="AB125" s="193"/>
      <c r="AC125" s="193"/>
      <c r="AD125" s="193"/>
      <c r="AE125" s="193"/>
      <c r="AF125" s="193"/>
      <c r="AG125" s="193"/>
      <c r="AH125" s="193"/>
      <c r="AI125" s="193"/>
      <c r="AJ125" s="193"/>
      <c r="AK125" s="193"/>
      <c r="AL125" s="193"/>
      <c r="AM125" s="193"/>
      <c r="AN125" s="193"/>
      <c r="AO125" s="193"/>
      <c r="AP125" s="193"/>
      <c r="AQ125" s="193"/>
      <c r="AR125" s="193"/>
      <c r="AS125" s="193"/>
      <c r="AT125" s="193"/>
      <c r="AU125" s="193"/>
      <c r="AV125" s="193"/>
      <c r="AW125" s="193"/>
      <c r="AX125" s="193"/>
      <c r="AY125" s="193"/>
      <c r="AZ125" s="193"/>
      <c r="BA125" s="193"/>
      <c r="BB125" s="193"/>
      <c r="BC125" s="193"/>
      <c r="BD125" s="193"/>
      <c r="BE125" s="193"/>
    </row>
    <row r="126" spans="1:57" x14ac:dyDescent="0.2">
      <c r="A126" s="279"/>
      <c r="B126" s="279"/>
      <c r="C126" s="275"/>
      <c r="D126" s="275"/>
      <c r="E126" s="193"/>
      <c r="F126" s="193"/>
      <c r="G126" s="193"/>
      <c r="H126" s="193"/>
      <c r="I126" s="193"/>
      <c r="J126" s="193"/>
      <c r="K126" s="193"/>
      <c r="L126" s="193"/>
      <c r="M126" s="193"/>
      <c r="N126" s="193"/>
      <c r="O126" s="193"/>
      <c r="P126" s="193"/>
      <c r="Q126" s="193"/>
      <c r="R126" s="193"/>
      <c r="S126" s="193"/>
      <c r="T126" s="193"/>
      <c r="U126" s="193"/>
      <c r="V126" s="193"/>
      <c r="W126" s="193"/>
      <c r="X126" s="193"/>
      <c r="Y126" s="193"/>
      <c r="Z126" s="193"/>
      <c r="AA126" s="193"/>
      <c r="AB126" s="193"/>
      <c r="AC126" s="193"/>
      <c r="AD126" s="193"/>
      <c r="AE126" s="193"/>
      <c r="AF126" s="193"/>
      <c r="AG126" s="193"/>
      <c r="AH126" s="193"/>
      <c r="AI126" s="193"/>
      <c r="AJ126" s="193"/>
      <c r="AK126" s="193"/>
      <c r="AL126" s="193"/>
      <c r="AM126" s="193"/>
      <c r="AN126" s="193"/>
      <c r="AO126" s="193"/>
      <c r="AP126" s="193"/>
      <c r="AQ126" s="193"/>
      <c r="AR126" s="193"/>
      <c r="AS126" s="193"/>
      <c r="AT126" s="193"/>
      <c r="AU126" s="193"/>
      <c r="AV126" s="193"/>
      <c r="AW126" s="193"/>
      <c r="AX126" s="193"/>
      <c r="AY126" s="193"/>
      <c r="AZ126" s="193"/>
      <c r="BA126" s="193"/>
      <c r="BB126" s="193"/>
      <c r="BC126" s="193"/>
      <c r="BD126" s="193"/>
      <c r="BE126" s="193"/>
    </row>
    <row r="127" spans="1:57" x14ac:dyDescent="0.2">
      <c r="A127" s="279"/>
      <c r="B127" s="279"/>
      <c r="C127" s="275"/>
      <c r="D127" s="275"/>
      <c r="E127" s="193"/>
      <c r="F127" s="193"/>
      <c r="G127" s="193"/>
      <c r="H127" s="193"/>
      <c r="I127" s="193"/>
      <c r="J127" s="193"/>
      <c r="K127" s="193"/>
      <c r="L127" s="193"/>
      <c r="M127" s="193"/>
      <c r="N127" s="193"/>
      <c r="O127" s="193"/>
      <c r="P127" s="193"/>
      <c r="Q127" s="193"/>
      <c r="R127" s="193"/>
      <c r="S127" s="193"/>
      <c r="T127" s="193"/>
      <c r="U127" s="193"/>
      <c r="V127" s="193"/>
      <c r="W127" s="193"/>
      <c r="X127" s="193"/>
      <c r="Y127" s="193"/>
      <c r="Z127" s="193"/>
      <c r="AA127" s="193"/>
      <c r="AB127" s="193"/>
      <c r="AC127" s="193"/>
      <c r="AD127" s="193"/>
      <c r="AE127" s="193"/>
      <c r="AF127" s="193"/>
      <c r="AG127" s="193"/>
      <c r="AH127" s="193"/>
      <c r="AI127" s="193"/>
      <c r="AJ127" s="193"/>
      <c r="AK127" s="193"/>
      <c r="AL127" s="193"/>
      <c r="AM127" s="193"/>
      <c r="AN127" s="193"/>
      <c r="AO127" s="193"/>
      <c r="AP127" s="193"/>
      <c r="AQ127" s="193"/>
      <c r="AR127" s="193"/>
      <c r="AS127" s="193"/>
      <c r="AT127" s="193"/>
      <c r="AU127" s="193"/>
      <c r="AV127" s="193"/>
      <c r="AW127" s="193"/>
      <c r="AX127" s="193"/>
      <c r="AY127" s="193"/>
      <c r="AZ127" s="193"/>
      <c r="BA127" s="193"/>
      <c r="BB127" s="193"/>
      <c r="BC127" s="193"/>
      <c r="BD127" s="193"/>
      <c r="BE127" s="193"/>
    </row>
    <row r="128" spans="1:57" x14ac:dyDescent="0.2">
      <c r="A128" s="279"/>
      <c r="B128" s="279"/>
      <c r="C128" s="275"/>
      <c r="D128" s="275"/>
      <c r="E128" s="193"/>
      <c r="F128" s="193"/>
      <c r="G128" s="193"/>
      <c r="H128" s="193"/>
      <c r="I128" s="193"/>
      <c r="J128" s="193"/>
      <c r="K128" s="193"/>
      <c r="L128" s="193"/>
      <c r="M128" s="193"/>
      <c r="N128" s="193"/>
      <c r="O128" s="193"/>
      <c r="P128" s="193"/>
      <c r="Q128" s="193"/>
      <c r="R128" s="193"/>
      <c r="S128" s="193"/>
      <c r="T128" s="193"/>
      <c r="U128" s="193"/>
      <c r="V128" s="193"/>
      <c r="W128" s="193"/>
      <c r="X128" s="193"/>
      <c r="Y128" s="193"/>
      <c r="Z128" s="193"/>
      <c r="AA128" s="193"/>
      <c r="AB128" s="193"/>
      <c r="AC128" s="193"/>
      <c r="AD128" s="193"/>
      <c r="AE128" s="193"/>
      <c r="AF128" s="193"/>
      <c r="AG128" s="193"/>
      <c r="AH128" s="193"/>
      <c r="AI128" s="193"/>
      <c r="AJ128" s="193"/>
      <c r="AK128" s="193"/>
      <c r="AL128" s="193"/>
      <c r="AM128" s="193"/>
      <c r="AN128" s="193"/>
      <c r="AO128" s="193"/>
      <c r="AP128" s="193"/>
      <c r="AQ128" s="193"/>
      <c r="AR128" s="193"/>
      <c r="AS128" s="193"/>
      <c r="AT128" s="193"/>
      <c r="AU128" s="193"/>
      <c r="AV128" s="193"/>
      <c r="AW128" s="193"/>
      <c r="AX128" s="193"/>
      <c r="AY128" s="193"/>
      <c r="AZ128" s="193"/>
      <c r="BA128" s="193"/>
      <c r="BB128" s="193"/>
      <c r="BC128" s="193"/>
      <c r="BD128" s="193"/>
      <c r="BE128" s="193"/>
    </row>
    <row r="129" spans="1:57" x14ac:dyDescent="0.2">
      <c r="A129" s="279"/>
      <c r="B129" s="279"/>
      <c r="C129" s="275"/>
      <c r="D129" s="275"/>
      <c r="E129" s="193"/>
      <c r="F129" s="193"/>
      <c r="G129" s="193"/>
      <c r="H129" s="193"/>
      <c r="I129" s="193"/>
      <c r="J129" s="193"/>
      <c r="K129" s="193"/>
      <c r="L129" s="193"/>
      <c r="M129" s="193"/>
      <c r="N129" s="193"/>
      <c r="O129" s="193"/>
      <c r="P129" s="193"/>
      <c r="Q129" s="193"/>
      <c r="R129" s="193"/>
      <c r="S129" s="193"/>
      <c r="T129" s="193"/>
      <c r="U129" s="193"/>
      <c r="V129" s="193"/>
      <c r="W129" s="193"/>
      <c r="X129" s="193"/>
      <c r="Y129" s="193"/>
      <c r="Z129" s="193"/>
      <c r="AA129" s="193"/>
      <c r="AB129" s="193"/>
      <c r="AC129" s="193"/>
      <c r="AD129" s="193"/>
      <c r="AE129" s="193"/>
      <c r="AF129" s="193"/>
      <c r="AG129" s="193"/>
      <c r="AH129" s="193"/>
      <c r="AI129" s="193"/>
      <c r="AJ129" s="193"/>
      <c r="AK129" s="193"/>
      <c r="AL129" s="193"/>
      <c r="AM129" s="193"/>
      <c r="AN129" s="193"/>
      <c r="AO129" s="193"/>
      <c r="AP129" s="193"/>
      <c r="AQ129" s="193"/>
      <c r="AR129" s="193"/>
      <c r="AS129" s="193"/>
      <c r="AT129" s="193"/>
      <c r="AU129" s="193"/>
      <c r="AV129" s="193"/>
      <c r="AW129" s="193"/>
      <c r="AX129" s="193"/>
      <c r="AY129" s="193"/>
      <c r="AZ129" s="193"/>
      <c r="BA129" s="193"/>
      <c r="BB129" s="193"/>
      <c r="BC129" s="193"/>
      <c r="BD129" s="193"/>
      <c r="BE129" s="193"/>
    </row>
    <row r="130" spans="1:57" x14ac:dyDescent="0.2">
      <c r="A130" s="279"/>
      <c r="B130" s="279"/>
      <c r="C130" s="275"/>
      <c r="D130" s="275"/>
      <c r="E130" s="193"/>
      <c r="F130" s="193"/>
      <c r="G130" s="193"/>
      <c r="H130" s="193"/>
      <c r="I130" s="193"/>
      <c r="J130" s="193"/>
      <c r="K130" s="193"/>
      <c r="L130" s="193"/>
      <c r="M130" s="193"/>
      <c r="N130" s="193"/>
      <c r="O130" s="193"/>
      <c r="P130" s="193"/>
      <c r="Q130" s="193"/>
      <c r="R130" s="193"/>
      <c r="S130" s="193"/>
      <c r="T130" s="193"/>
      <c r="U130" s="193"/>
      <c r="V130" s="193"/>
      <c r="W130" s="193"/>
      <c r="X130" s="193"/>
      <c r="Y130" s="193"/>
      <c r="Z130" s="193"/>
      <c r="AA130" s="193"/>
      <c r="AB130" s="193"/>
      <c r="AC130" s="193"/>
      <c r="AD130" s="193"/>
      <c r="AE130" s="193"/>
      <c r="AF130" s="193"/>
      <c r="AG130" s="193"/>
      <c r="AH130" s="193"/>
      <c r="AI130" s="193"/>
      <c r="AJ130" s="193"/>
      <c r="AK130" s="193"/>
      <c r="AL130" s="193"/>
      <c r="AM130" s="193"/>
      <c r="AN130" s="193"/>
      <c r="AO130" s="193"/>
      <c r="AP130" s="193"/>
      <c r="AQ130" s="193"/>
      <c r="AR130" s="193"/>
      <c r="AS130" s="193"/>
      <c r="AT130" s="193"/>
      <c r="AU130" s="193"/>
      <c r="AV130" s="193"/>
      <c r="AW130" s="193"/>
      <c r="AX130" s="193"/>
      <c r="AY130" s="193"/>
      <c r="AZ130" s="193"/>
      <c r="BA130" s="193"/>
      <c r="BB130" s="193"/>
      <c r="BC130" s="193"/>
      <c r="BD130" s="193"/>
      <c r="BE130" s="193"/>
    </row>
    <row r="131" spans="1:57" x14ac:dyDescent="0.2">
      <c r="A131" s="279"/>
      <c r="B131" s="279"/>
      <c r="C131" s="275"/>
      <c r="D131" s="275"/>
      <c r="E131" s="193"/>
      <c r="F131" s="193"/>
      <c r="G131" s="193"/>
      <c r="H131" s="193"/>
      <c r="I131" s="193"/>
      <c r="J131" s="193"/>
      <c r="K131" s="193"/>
      <c r="L131" s="193"/>
      <c r="M131" s="193"/>
      <c r="N131" s="193"/>
      <c r="O131" s="193"/>
      <c r="P131" s="193"/>
      <c r="Q131" s="193"/>
      <c r="R131" s="193"/>
      <c r="S131" s="193"/>
      <c r="T131" s="193"/>
      <c r="U131" s="193"/>
      <c r="V131" s="193"/>
      <c r="W131" s="193"/>
      <c r="X131" s="193"/>
      <c r="Y131" s="193"/>
      <c r="Z131" s="193"/>
      <c r="AA131" s="193"/>
      <c r="AB131" s="193"/>
      <c r="AC131" s="193"/>
      <c r="AD131" s="193"/>
      <c r="AE131" s="193"/>
      <c r="AF131" s="193"/>
      <c r="AG131" s="193"/>
      <c r="AH131" s="193"/>
      <c r="AI131" s="193"/>
      <c r="AJ131" s="193"/>
      <c r="AK131" s="193"/>
      <c r="AL131" s="193"/>
      <c r="AM131" s="193"/>
      <c r="AN131" s="193"/>
      <c r="AO131" s="193"/>
      <c r="AP131" s="193"/>
      <c r="AQ131" s="193"/>
      <c r="AR131" s="193"/>
      <c r="AS131" s="193"/>
      <c r="AT131" s="193"/>
      <c r="AU131" s="193"/>
      <c r="AV131" s="193"/>
      <c r="AW131" s="193"/>
      <c r="AX131" s="193"/>
      <c r="AY131" s="193"/>
      <c r="AZ131" s="193"/>
      <c r="BA131" s="193"/>
      <c r="BB131" s="193"/>
      <c r="BC131" s="193"/>
      <c r="BD131" s="193"/>
      <c r="BE131" s="193"/>
    </row>
    <row r="132" spans="1:57" x14ac:dyDescent="0.2">
      <c r="A132" s="279"/>
      <c r="B132" s="279"/>
      <c r="C132" s="275"/>
      <c r="D132" s="275"/>
      <c r="E132" s="193"/>
      <c r="F132" s="193"/>
      <c r="G132" s="193"/>
      <c r="H132" s="193"/>
      <c r="I132" s="193"/>
      <c r="J132" s="193"/>
      <c r="K132" s="193"/>
      <c r="L132" s="193"/>
      <c r="M132" s="193"/>
      <c r="N132" s="193"/>
      <c r="O132" s="193"/>
      <c r="P132" s="193"/>
      <c r="Q132" s="193"/>
      <c r="R132" s="193"/>
      <c r="S132" s="193"/>
      <c r="T132" s="193"/>
      <c r="U132" s="193"/>
      <c r="V132" s="193"/>
      <c r="W132" s="193"/>
      <c r="X132" s="193"/>
      <c r="Y132" s="193"/>
      <c r="Z132" s="193"/>
      <c r="AA132" s="193"/>
      <c r="AB132" s="193"/>
      <c r="AC132" s="193"/>
      <c r="AD132" s="193"/>
      <c r="AE132" s="193"/>
      <c r="AF132" s="193"/>
      <c r="AG132" s="193"/>
      <c r="AH132" s="193"/>
      <c r="AI132" s="193"/>
      <c r="AJ132" s="193"/>
      <c r="AK132" s="193"/>
      <c r="AL132" s="193"/>
      <c r="AM132" s="193"/>
      <c r="AN132" s="193"/>
      <c r="AO132" s="193"/>
      <c r="AP132" s="193"/>
      <c r="AQ132" s="193"/>
      <c r="AR132" s="193"/>
      <c r="AS132" s="193"/>
      <c r="AT132" s="193"/>
      <c r="AU132" s="193"/>
      <c r="AV132" s="193"/>
      <c r="AW132" s="193"/>
      <c r="AX132" s="193"/>
      <c r="AY132" s="193"/>
      <c r="AZ132" s="193"/>
      <c r="BA132" s="193"/>
      <c r="BB132" s="193"/>
      <c r="BC132" s="193"/>
      <c r="BD132" s="193"/>
      <c r="BE132" s="193"/>
    </row>
    <row r="133" spans="1:57" x14ac:dyDescent="0.2">
      <c r="A133" s="279"/>
      <c r="B133" s="279"/>
      <c r="C133" s="275"/>
      <c r="D133" s="275"/>
      <c r="E133" s="193"/>
      <c r="F133" s="193"/>
      <c r="G133" s="193"/>
      <c r="H133" s="193"/>
      <c r="I133" s="193"/>
      <c r="J133" s="193"/>
      <c r="K133" s="193"/>
      <c r="L133" s="193"/>
      <c r="M133" s="193"/>
      <c r="N133" s="193"/>
      <c r="O133" s="193"/>
      <c r="P133" s="193"/>
      <c r="Q133" s="193"/>
      <c r="R133" s="193"/>
      <c r="S133" s="193"/>
      <c r="T133" s="193"/>
      <c r="U133" s="193"/>
      <c r="V133" s="193"/>
      <c r="W133" s="193"/>
      <c r="X133" s="193"/>
      <c r="Y133" s="193"/>
      <c r="Z133" s="193"/>
      <c r="AA133" s="193"/>
      <c r="AB133" s="193"/>
      <c r="AC133" s="193"/>
      <c r="AD133" s="193"/>
      <c r="AE133" s="193"/>
      <c r="AF133" s="193"/>
      <c r="AG133" s="193"/>
      <c r="AH133" s="193"/>
      <c r="AI133" s="193"/>
      <c r="AJ133" s="193"/>
      <c r="AK133" s="193"/>
      <c r="AL133" s="193"/>
      <c r="AM133" s="193"/>
      <c r="AN133" s="193"/>
      <c r="AO133" s="193"/>
      <c r="AP133" s="193"/>
      <c r="AQ133" s="193"/>
      <c r="AR133" s="193"/>
      <c r="AS133" s="193"/>
      <c r="AT133" s="193"/>
      <c r="AU133" s="193"/>
      <c r="AV133" s="193"/>
      <c r="AW133" s="193"/>
      <c r="AX133" s="193"/>
      <c r="AY133" s="193"/>
      <c r="AZ133" s="193"/>
      <c r="BA133" s="193"/>
      <c r="BB133" s="193"/>
      <c r="BC133" s="193"/>
      <c r="BD133" s="193"/>
      <c r="BE133" s="193"/>
    </row>
    <row r="134" spans="1:57" x14ac:dyDescent="0.2">
      <c r="A134" s="279"/>
      <c r="B134" s="279"/>
      <c r="C134" s="275"/>
      <c r="D134" s="275"/>
      <c r="E134" s="193"/>
      <c r="F134" s="193"/>
      <c r="G134" s="193"/>
      <c r="H134" s="193"/>
      <c r="I134" s="193"/>
      <c r="J134" s="193"/>
      <c r="K134" s="193"/>
      <c r="L134" s="193"/>
      <c r="M134" s="193"/>
      <c r="N134" s="193"/>
      <c r="O134" s="193"/>
      <c r="P134" s="193"/>
      <c r="Q134" s="193"/>
      <c r="R134" s="193"/>
      <c r="S134" s="193"/>
      <c r="T134" s="193"/>
      <c r="U134" s="193"/>
      <c r="V134" s="193"/>
      <c r="W134" s="193"/>
      <c r="X134" s="193"/>
      <c r="Y134" s="193"/>
      <c r="Z134" s="193"/>
      <c r="AA134" s="193"/>
      <c r="AB134" s="193"/>
      <c r="AC134" s="193"/>
      <c r="AD134" s="193"/>
      <c r="AE134" s="193"/>
      <c r="AF134" s="193"/>
      <c r="AG134" s="193"/>
      <c r="AH134" s="193"/>
      <c r="AI134" s="193"/>
      <c r="AJ134" s="193"/>
      <c r="AK134" s="193"/>
      <c r="AL134" s="193"/>
      <c r="AM134" s="193"/>
      <c r="AN134" s="193"/>
      <c r="AO134" s="193"/>
      <c r="AP134" s="193"/>
      <c r="AQ134" s="193"/>
      <c r="AR134" s="193"/>
      <c r="AS134" s="193"/>
      <c r="AT134" s="193"/>
      <c r="AU134" s="193"/>
      <c r="AV134" s="193"/>
      <c r="AW134" s="193"/>
      <c r="AX134" s="193"/>
      <c r="AY134" s="193"/>
      <c r="AZ134" s="193"/>
      <c r="BA134" s="193"/>
      <c r="BB134" s="193"/>
      <c r="BC134" s="193"/>
      <c r="BD134" s="193"/>
      <c r="BE134" s="193"/>
    </row>
    <row r="135" spans="1:57" x14ac:dyDescent="0.2">
      <c r="A135" s="279"/>
      <c r="B135" s="279"/>
      <c r="C135" s="275"/>
      <c r="D135" s="275"/>
      <c r="E135" s="193"/>
      <c r="F135" s="193"/>
      <c r="G135" s="193"/>
      <c r="H135" s="193"/>
      <c r="I135" s="193"/>
      <c r="J135" s="193"/>
      <c r="K135" s="193"/>
      <c r="L135" s="193"/>
      <c r="M135" s="193"/>
      <c r="N135" s="193"/>
      <c r="O135" s="193"/>
      <c r="P135" s="193"/>
      <c r="Q135" s="193"/>
      <c r="R135" s="193"/>
      <c r="S135" s="193"/>
      <c r="T135" s="193"/>
      <c r="U135" s="193"/>
      <c r="V135" s="193"/>
      <c r="W135" s="193"/>
      <c r="X135" s="193"/>
      <c r="Y135" s="193"/>
      <c r="Z135" s="193"/>
      <c r="AA135" s="193"/>
      <c r="AB135" s="193"/>
      <c r="AC135" s="193"/>
      <c r="AD135" s="193"/>
      <c r="AE135" s="193"/>
      <c r="AF135" s="193"/>
      <c r="AG135" s="193"/>
      <c r="AH135" s="193"/>
      <c r="AI135" s="193"/>
      <c r="AJ135" s="193"/>
      <c r="AK135" s="193"/>
      <c r="AL135" s="193"/>
      <c r="AM135" s="193"/>
      <c r="AN135" s="193"/>
      <c r="AO135" s="193"/>
      <c r="AP135" s="193"/>
      <c r="AQ135" s="193"/>
      <c r="AR135" s="193"/>
      <c r="AS135" s="193"/>
      <c r="AT135" s="193"/>
      <c r="AU135" s="193"/>
      <c r="AV135" s="193"/>
      <c r="AW135" s="193"/>
      <c r="AX135" s="193"/>
      <c r="AY135" s="193"/>
      <c r="AZ135" s="193"/>
      <c r="BA135" s="193"/>
      <c r="BB135" s="193"/>
      <c r="BC135" s="193"/>
      <c r="BD135" s="193"/>
      <c r="BE135" s="193"/>
    </row>
    <row r="136" spans="1:57" x14ac:dyDescent="0.2">
      <c r="A136" s="279"/>
      <c r="B136" s="279"/>
      <c r="C136" s="275"/>
      <c r="D136" s="275"/>
      <c r="E136" s="193"/>
      <c r="F136" s="193"/>
      <c r="G136" s="193"/>
      <c r="H136" s="193"/>
      <c r="I136" s="193"/>
      <c r="J136" s="193"/>
      <c r="K136" s="193"/>
      <c r="L136" s="193"/>
      <c r="M136" s="193"/>
      <c r="N136" s="193"/>
      <c r="O136" s="193"/>
      <c r="P136" s="193"/>
      <c r="Q136" s="193"/>
      <c r="R136" s="193"/>
      <c r="S136" s="193"/>
      <c r="T136" s="193"/>
      <c r="U136" s="193"/>
      <c r="V136" s="193"/>
      <c r="W136" s="193"/>
      <c r="X136" s="193"/>
      <c r="Y136" s="193"/>
      <c r="Z136" s="193"/>
      <c r="AA136" s="193"/>
      <c r="AB136" s="193"/>
      <c r="AC136" s="193"/>
      <c r="AD136" s="193"/>
      <c r="AE136" s="193"/>
      <c r="AF136" s="193"/>
      <c r="AG136" s="193"/>
      <c r="AH136" s="193"/>
      <c r="AI136" s="193"/>
      <c r="AJ136" s="193"/>
      <c r="AK136" s="193"/>
      <c r="AL136" s="193"/>
      <c r="AM136" s="193"/>
      <c r="AN136" s="193"/>
      <c r="AO136" s="193"/>
      <c r="AP136" s="193"/>
      <c r="AQ136" s="193"/>
      <c r="AR136" s="193"/>
      <c r="AS136" s="193"/>
      <c r="AT136" s="193"/>
      <c r="AU136" s="193"/>
      <c r="AV136" s="193"/>
      <c r="AW136" s="193"/>
      <c r="AX136" s="193"/>
      <c r="AY136" s="193"/>
      <c r="AZ136" s="193"/>
      <c r="BA136" s="193"/>
      <c r="BB136" s="193"/>
      <c r="BC136" s="193"/>
      <c r="BD136" s="193"/>
      <c r="BE136" s="193"/>
    </row>
    <row r="137" spans="1:57" x14ac:dyDescent="0.2">
      <c r="A137" s="279"/>
      <c r="B137" s="279"/>
      <c r="C137" s="275"/>
      <c r="D137" s="275"/>
      <c r="E137" s="193"/>
      <c r="F137" s="193"/>
      <c r="G137" s="193"/>
      <c r="H137" s="193"/>
      <c r="I137" s="193"/>
      <c r="J137" s="193"/>
      <c r="K137" s="193"/>
      <c r="L137" s="193"/>
      <c r="M137" s="193"/>
      <c r="N137" s="193"/>
      <c r="O137" s="193"/>
      <c r="P137" s="193"/>
      <c r="Q137" s="193"/>
      <c r="R137" s="193"/>
      <c r="S137" s="193"/>
      <c r="T137" s="193"/>
      <c r="U137" s="193"/>
      <c r="V137" s="193"/>
      <c r="W137" s="193"/>
      <c r="X137" s="193"/>
      <c r="Y137" s="193"/>
      <c r="Z137" s="193"/>
      <c r="AA137" s="193"/>
      <c r="AB137" s="193"/>
      <c r="AC137" s="193"/>
      <c r="AD137" s="193"/>
      <c r="AE137" s="193"/>
      <c r="AF137" s="193"/>
      <c r="AG137" s="193"/>
      <c r="AH137" s="193"/>
      <c r="AI137" s="193"/>
      <c r="AJ137" s="193"/>
      <c r="AK137" s="193"/>
      <c r="AL137" s="193"/>
      <c r="AM137" s="193"/>
      <c r="AN137" s="193"/>
      <c r="AO137" s="193"/>
      <c r="AP137" s="193"/>
      <c r="AQ137" s="193"/>
      <c r="AR137" s="193"/>
      <c r="AS137" s="193"/>
      <c r="AT137" s="193"/>
      <c r="AU137" s="193"/>
      <c r="AV137" s="193"/>
      <c r="AW137" s="193"/>
      <c r="AX137" s="193"/>
      <c r="AY137" s="193"/>
      <c r="AZ137" s="193"/>
      <c r="BA137" s="193"/>
      <c r="BB137" s="193"/>
      <c r="BC137" s="193"/>
      <c r="BD137" s="193"/>
      <c r="BE137" s="193"/>
    </row>
    <row r="138" spans="1:57" x14ac:dyDescent="0.2">
      <c r="A138" s="279"/>
      <c r="B138" s="279"/>
      <c r="C138" s="275"/>
      <c r="D138" s="275"/>
      <c r="E138" s="193"/>
      <c r="F138" s="193"/>
      <c r="G138" s="193"/>
      <c r="H138" s="193"/>
      <c r="I138" s="193"/>
      <c r="J138" s="193"/>
      <c r="K138" s="193"/>
      <c r="L138" s="193"/>
      <c r="M138" s="193"/>
      <c r="N138" s="193"/>
      <c r="O138" s="193"/>
      <c r="P138" s="193"/>
      <c r="Q138" s="193"/>
      <c r="R138" s="193"/>
      <c r="S138" s="193"/>
      <c r="T138" s="193"/>
      <c r="U138" s="193"/>
      <c r="V138" s="193"/>
      <c r="W138" s="193"/>
      <c r="X138" s="193"/>
      <c r="Y138" s="193"/>
      <c r="Z138" s="193"/>
      <c r="AA138" s="193"/>
      <c r="AB138" s="193"/>
      <c r="AC138" s="193"/>
      <c r="AD138" s="193"/>
      <c r="AE138" s="193"/>
      <c r="AF138" s="193"/>
      <c r="AG138" s="193"/>
      <c r="AH138" s="193"/>
      <c r="AI138" s="193"/>
      <c r="AJ138" s="193"/>
      <c r="AK138" s="193"/>
      <c r="AL138" s="193"/>
      <c r="AM138" s="193"/>
      <c r="AN138" s="193"/>
      <c r="AO138" s="193"/>
      <c r="AP138" s="193"/>
      <c r="AQ138" s="193"/>
      <c r="AR138" s="193"/>
      <c r="AS138" s="193"/>
      <c r="AT138" s="193"/>
      <c r="AU138" s="193"/>
      <c r="AV138" s="193"/>
      <c r="AW138" s="193"/>
      <c r="AX138" s="193"/>
      <c r="AY138" s="193"/>
      <c r="AZ138" s="193"/>
      <c r="BA138" s="193"/>
      <c r="BB138" s="193"/>
      <c r="BC138" s="193"/>
      <c r="BD138" s="193"/>
      <c r="BE138" s="193"/>
    </row>
    <row r="139" spans="1:57" x14ac:dyDescent="0.2">
      <c r="A139" s="279"/>
      <c r="B139" s="279"/>
      <c r="C139" s="275"/>
      <c r="D139" s="275"/>
      <c r="E139" s="193"/>
      <c r="F139" s="193"/>
      <c r="G139" s="193"/>
      <c r="H139" s="193"/>
      <c r="I139" s="193"/>
      <c r="J139" s="193"/>
      <c r="K139" s="193"/>
      <c r="L139" s="193"/>
      <c r="M139" s="193"/>
      <c r="N139" s="193"/>
      <c r="O139" s="193"/>
      <c r="P139" s="193"/>
      <c r="Q139" s="193"/>
      <c r="R139" s="193"/>
      <c r="S139" s="193"/>
      <c r="T139" s="193"/>
      <c r="U139" s="193"/>
      <c r="V139" s="193"/>
      <c r="W139" s="193"/>
      <c r="X139" s="193"/>
      <c r="Y139" s="193"/>
      <c r="Z139" s="193"/>
      <c r="AA139" s="193"/>
      <c r="AB139" s="193"/>
      <c r="AC139" s="193"/>
      <c r="AD139" s="193"/>
      <c r="AE139" s="193"/>
      <c r="AF139" s="193"/>
      <c r="AG139" s="193"/>
      <c r="AH139" s="193"/>
      <c r="AI139" s="193"/>
      <c r="AJ139" s="193"/>
      <c r="AK139" s="193"/>
      <c r="AL139" s="193"/>
      <c r="AM139" s="193"/>
      <c r="AN139" s="193"/>
      <c r="AO139" s="193"/>
      <c r="AP139" s="193"/>
      <c r="AQ139" s="193"/>
      <c r="AR139" s="193"/>
      <c r="AS139" s="193"/>
      <c r="AT139" s="193"/>
      <c r="AU139" s="193"/>
      <c r="AV139" s="193"/>
      <c r="AW139" s="193"/>
      <c r="AX139" s="193"/>
      <c r="AY139" s="193"/>
      <c r="AZ139" s="193"/>
      <c r="BA139" s="193"/>
      <c r="BB139" s="193"/>
      <c r="BC139" s="193"/>
      <c r="BD139" s="193"/>
      <c r="BE139" s="193"/>
    </row>
    <row r="140" spans="1:57" x14ac:dyDescent="0.2">
      <c r="A140" s="279"/>
      <c r="B140" s="279"/>
      <c r="C140" s="275"/>
      <c r="D140" s="275"/>
      <c r="E140" s="193"/>
      <c r="F140" s="193"/>
      <c r="G140" s="193"/>
      <c r="H140" s="193"/>
      <c r="I140" s="193"/>
      <c r="J140" s="193"/>
      <c r="K140" s="193"/>
      <c r="L140" s="193"/>
      <c r="M140" s="193"/>
      <c r="N140" s="193"/>
      <c r="O140" s="193"/>
      <c r="P140" s="193"/>
      <c r="Q140" s="193"/>
      <c r="R140" s="193"/>
      <c r="S140" s="193"/>
      <c r="T140" s="193"/>
      <c r="U140" s="193"/>
      <c r="V140" s="193"/>
      <c r="W140" s="193"/>
      <c r="X140" s="193"/>
      <c r="Y140" s="193"/>
      <c r="Z140" s="193"/>
      <c r="AA140" s="193"/>
      <c r="AB140" s="193"/>
      <c r="AC140" s="193"/>
      <c r="AD140" s="193"/>
      <c r="AE140" s="193"/>
      <c r="AF140" s="193"/>
      <c r="AG140" s="193"/>
      <c r="AH140" s="193"/>
      <c r="AI140" s="193"/>
      <c r="AJ140" s="193"/>
      <c r="AK140" s="193"/>
      <c r="AL140" s="193"/>
      <c r="AM140" s="193"/>
      <c r="AN140" s="193"/>
      <c r="AO140" s="193"/>
      <c r="AP140" s="193"/>
      <c r="AQ140" s="193"/>
      <c r="AR140" s="193"/>
      <c r="AS140" s="193"/>
      <c r="AT140" s="193"/>
      <c r="AU140" s="193"/>
      <c r="AV140" s="193"/>
      <c r="AW140" s="193"/>
      <c r="AX140" s="193"/>
      <c r="AY140" s="193"/>
      <c r="AZ140" s="193"/>
      <c r="BA140" s="193"/>
      <c r="BB140" s="193"/>
      <c r="BC140" s="193"/>
      <c r="BD140" s="193"/>
      <c r="BE140" s="193"/>
    </row>
    <row r="141" spans="1:57" x14ac:dyDescent="0.2">
      <c r="A141" s="279"/>
      <c r="B141" s="279"/>
      <c r="C141" s="275"/>
      <c r="D141" s="275"/>
      <c r="E141" s="193"/>
      <c r="F141" s="193"/>
      <c r="G141" s="193"/>
      <c r="H141" s="193"/>
      <c r="I141" s="193"/>
      <c r="J141" s="193"/>
      <c r="K141" s="193"/>
      <c r="L141" s="193"/>
      <c r="M141" s="193"/>
      <c r="N141" s="193"/>
      <c r="O141" s="193"/>
      <c r="P141" s="193"/>
      <c r="Q141" s="193"/>
      <c r="R141" s="193"/>
      <c r="S141" s="193"/>
      <c r="T141" s="193"/>
      <c r="U141" s="193"/>
      <c r="V141" s="193"/>
      <c r="W141" s="193"/>
      <c r="X141" s="193"/>
      <c r="Y141" s="193"/>
      <c r="Z141" s="193"/>
      <c r="AA141" s="193"/>
      <c r="AB141" s="193"/>
      <c r="AC141" s="193"/>
      <c r="AD141" s="193"/>
      <c r="AE141" s="193"/>
      <c r="AF141" s="193"/>
      <c r="AG141" s="193"/>
      <c r="AH141" s="193"/>
      <c r="AI141" s="193"/>
      <c r="AJ141" s="193"/>
      <c r="AK141" s="193"/>
      <c r="AL141" s="193"/>
      <c r="AM141" s="193"/>
      <c r="AN141" s="193"/>
      <c r="AO141" s="193"/>
      <c r="AP141" s="193"/>
      <c r="AQ141" s="193"/>
      <c r="AR141" s="193"/>
      <c r="AS141" s="193"/>
      <c r="AT141" s="193"/>
      <c r="AU141" s="193"/>
      <c r="AV141" s="193"/>
      <c r="AW141" s="193"/>
      <c r="AX141" s="193"/>
      <c r="AY141" s="193"/>
      <c r="AZ141" s="193"/>
      <c r="BA141" s="193"/>
      <c r="BB141" s="193"/>
      <c r="BC141" s="193"/>
      <c r="BD141" s="193"/>
      <c r="BE141" s="193"/>
    </row>
    <row r="142" spans="1:57" x14ac:dyDescent="0.2">
      <c r="A142" s="279"/>
      <c r="B142" s="279"/>
      <c r="C142" s="275"/>
      <c r="D142" s="275"/>
      <c r="E142" s="193"/>
      <c r="F142" s="193"/>
      <c r="G142" s="193"/>
      <c r="H142" s="193"/>
      <c r="I142" s="193"/>
      <c r="J142" s="193"/>
      <c r="K142" s="193"/>
      <c r="L142" s="193"/>
      <c r="M142" s="193"/>
      <c r="N142" s="193"/>
      <c r="O142" s="193"/>
      <c r="P142" s="193"/>
      <c r="Q142" s="193"/>
      <c r="R142" s="193"/>
      <c r="S142" s="193"/>
      <c r="T142" s="193"/>
      <c r="U142" s="193"/>
      <c r="V142" s="193"/>
      <c r="W142" s="193"/>
      <c r="X142" s="193"/>
      <c r="Y142" s="193"/>
      <c r="Z142" s="193"/>
      <c r="AA142" s="193"/>
      <c r="AB142" s="193"/>
      <c r="AC142" s="193"/>
      <c r="AD142" s="193"/>
      <c r="AE142" s="193"/>
      <c r="AF142" s="193"/>
      <c r="AG142" s="193"/>
      <c r="AH142" s="193"/>
      <c r="AI142" s="193"/>
      <c r="AJ142" s="193"/>
      <c r="AK142" s="193"/>
      <c r="AL142" s="193"/>
      <c r="AM142" s="193"/>
      <c r="AN142" s="193"/>
      <c r="AO142" s="193"/>
      <c r="AP142" s="193"/>
      <c r="AQ142" s="193"/>
      <c r="AR142" s="193"/>
      <c r="AS142" s="193"/>
      <c r="AT142" s="193"/>
      <c r="AU142" s="193"/>
      <c r="AV142" s="193"/>
      <c r="AW142" s="193"/>
      <c r="AX142" s="193"/>
      <c r="AY142" s="193"/>
      <c r="AZ142" s="193"/>
      <c r="BA142" s="193"/>
      <c r="BB142" s="193"/>
      <c r="BC142" s="193"/>
      <c r="BD142" s="193"/>
      <c r="BE142" s="193"/>
    </row>
    <row r="143" spans="1:57" x14ac:dyDescent="0.2">
      <c r="A143" s="279"/>
      <c r="B143" s="279"/>
      <c r="C143" s="275"/>
      <c r="D143" s="275"/>
      <c r="E143" s="193"/>
      <c r="F143" s="193"/>
      <c r="G143" s="193"/>
      <c r="H143" s="193"/>
      <c r="I143" s="193"/>
      <c r="J143" s="193"/>
      <c r="K143" s="193"/>
      <c r="L143" s="193"/>
      <c r="M143" s="193"/>
      <c r="N143" s="193"/>
      <c r="O143" s="193"/>
      <c r="P143" s="193"/>
      <c r="Q143" s="193"/>
      <c r="R143" s="193"/>
      <c r="S143" s="193"/>
      <c r="T143" s="193"/>
      <c r="U143" s="193"/>
      <c r="V143" s="193"/>
      <c r="W143" s="193"/>
      <c r="X143" s="193"/>
      <c r="Y143" s="193"/>
      <c r="Z143" s="193"/>
      <c r="AA143" s="193"/>
      <c r="AB143" s="193"/>
      <c r="AC143" s="193"/>
      <c r="AD143" s="193"/>
      <c r="AE143" s="193"/>
      <c r="AF143" s="193"/>
      <c r="AG143" s="193"/>
      <c r="AH143" s="193"/>
      <c r="AI143" s="193"/>
      <c r="AJ143" s="193"/>
      <c r="AK143" s="193"/>
      <c r="AL143" s="193"/>
      <c r="AM143" s="193"/>
      <c r="AN143" s="193"/>
      <c r="AO143" s="193"/>
      <c r="AP143" s="193"/>
      <c r="AQ143" s="193"/>
      <c r="AR143" s="193"/>
      <c r="AS143" s="193"/>
      <c r="AT143" s="193"/>
      <c r="AU143" s="193"/>
      <c r="AV143" s="193"/>
      <c r="AW143" s="193"/>
      <c r="AX143" s="193"/>
      <c r="AY143" s="193"/>
      <c r="AZ143" s="193"/>
      <c r="BA143" s="193"/>
      <c r="BB143" s="193"/>
      <c r="BC143" s="193"/>
      <c r="BD143" s="193"/>
      <c r="BE143" s="193"/>
    </row>
    <row r="144" spans="1:57" x14ac:dyDescent="0.2">
      <c r="A144" s="279"/>
      <c r="B144" s="279"/>
      <c r="C144" s="275"/>
      <c r="D144" s="275"/>
      <c r="E144" s="193"/>
      <c r="F144" s="193"/>
      <c r="G144" s="193"/>
      <c r="H144" s="193"/>
      <c r="I144" s="193"/>
      <c r="J144" s="193"/>
      <c r="K144" s="193"/>
      <c r="L144" s="193"/>
      <c r="M144" s="193"/>
      <c r="N144" s="193"/>
      <c r="O144" s="193"/>
      <c r="P144" s="193"/>
      <c r="Q144" s="193"/>
      <c r="R144" s="193"/>
      <c r="S144" s="193"/>
      <c r="T144" s="193"/>
      <c r="U144" s="193"/>
      <c r="V144" s="193"/>
      <c r="W144" s="193"/>
      <c r="X144" s="193"/>
      <c r="Y144" s="193"/>
      <c r="Z144" s="193"/>
      <c r="AA144" s="193"/>
      <c r="AB144" s="193"/>
      <c r="AC144" s="193"/>
      <c r="AD144" s="193"/>
      <c r="AE144" s="193"/>
      <c r="AF144" s="193"/>
      <c r="AG144" s="193"/>
      <c r="AH144" s="193"/>
      <c r="AI144" s="193"/>
      <c r="AJ144" s="193"/>
      <c r="AK144" s="193"/>
      <c r="AL144" s="193"/>
      <c r="AM144" s="193"/>
      <c r="AN144" s="193"/>
      <c r="AO144" s="193"/>
      <c r="AP144" s="193"/>
      <c r="AQ144" s="193"/>
      <c r="AR144" s="193"/>
      <c r="AS144" s="193"/>
      <c r="AT144" s="193"/>
      <c r="AU144" s="193"/>
      <c r="AV144" s="193"/>
      <c r="AW144" s="193"/>
      <c r="AX144" s="193"/>
      <c r="AY144" s="193"/>
      <c r="AZ144" s="193"/>
      <c r="BA144" s="193"/>
      <c r="BB144" s="193"/>
      <c r="BC144" s="193"/>
      <c r="BD144" s="193"/>
      <c r="BE144" s="193"/>
    </row>
    <row r="145" spans="1:57" x14ac:dyDescent="0.2">
      <c r="A145" s="279"/>
      <c r="B145" s="279"/>
      <c r="C145" s="275"/>
      <c r="D145" s="275"/>
      <c r="E145" s="193"/>
      <c r="F145" s="193"/>
      <c r="G145" s="193"/>
      <c r="H145" s="193"/>
      <c r="I145" s="193"/>
      <c r="J145" s="193"/>
      <c r="K145" s="193"/>
      <c r="L145" s="193"/>
      <c r="M145" s="193"/>
      <c r="N145" s="193"/>
      <c r="O145" s="193"/>
      <c r="P145" s="193"/>
      <c r="Q145" s="193"/>
      <c r="R145" s="193"/>
      <c r="S145" s="193"/>
      <c r="T145" s="193"/>
      <c r="U145" s="193"/>
      <c r="V145" s="193"/>
      <c r="W145" s="193"/>
      <c r="X145" s="193"/>
      <c r="Y145" s="193"/>
      <c r="Z145" s="193"/>
      <c r="AA145" s="193"/>
      <c r="AB145" s="193"/>
      <c r="AC145" s="193"/>
      <c r="AD145" s="193"/>
      <c r="AE145" s="193"/>
      <c r="AF145" s="193"/>
      <c r="AG145" s="193"/>
      <c r="AH145" s="193"/>
      <c r="AI145" s="193"/>
      <c r="AJ145" s="193"/>
      <c r="AK145" s="193"/>
      <c r="AL145" s="193"/>
      <c r="AM145" s="193"/>
      <c r="AN145" s="193"/>
      <c r="AO145" s="193"/>
      <c r="AP145" s="193"/>
      <c r="AQ145" s="193"/>
      <c r="AR145" s="193"/>
      <c r="AS145" s="193"/>
      <c r="AT145" s="193"/>
      <c r="AU145" s="193"/>
      <c r="AV145" s="193"/>
      <c r="AW145" s="193"/>
      <c r="AX145" s="193"/>
      <c r="AY145" s="193"/>
      <c r="AZ145" s="193"/>
      <c r="BA145" s="193"/>
      <c r="BB145" s="193"/>
      <c r="BC145" s="193"/>
      <c r="BD145" s="193"/>
      <c r="BE145" s="193"/>
    </row>
    <row r="146" spans="1:57" x14ac:dyDescent="0.2">
      <c r="A146" s="279"/>
      <c r="B146" s="279"/>
      <c r="C146" s="275"/>
      <c r="D146" s="275"/>
      <c r="E146" s="193"/>
      <c r="F146" s="193"/>
      <c r="G146" s="193"/>
      <c r="H146" s="193"/>
      <c r="I146" s="193"/>
      <c r="J146" s="193"/>
      <c r="K146" s="193"/>
      <c r="L146" s="193"/>
      <c r="M146" s="193"/>
      <c r="N146" s="193"/>
      <c r="O146" s="193"/>
      <c r="P146" s="193"/>
      <c r="Q146" s="193"/>
      <c r="R146" s="193"/>
      <c r="S146" s="193"/>
      <c r="T146" s="193"/>
      <c r="U146" s="193"/>
      <c r="V146" s="193"/>
      <c r="W146" s="193"/>
      <c r="X146" s="193"/>
      <c r="Y146" s="193"/>
      <c r="Z146" s="193"/>
      <c r="AA146" s="193"/>
      <c r="AB146" s="193"/>
      <c r="AC146" s="193"/>
      <c r="AD146" s="193"/>
      <c r="AE146" s="193"/>
      <c r="AF146" s="193"/>
      <c r="AG146" s="193"/>
      <c r="AH146" s="193"/>
      <c r="AI146" s="193"/>
      <c r="AJ146" s="193"/>
      <c r="AK146" s="193"/>
      <c r="AL146" s="193"/>
      <c r="AM146" s="193"/>
      <c r="AN146" s="193"/>
      <c r="AO146" s="193"/>
      <c r="AP146" s="193"/>
      <c r="AQ146" s="193"/>
      <c r="AR146" s="193"/>
      <c r="AS146" s="193"/>
      <c r="AT146" s="193"/>
      <c r="AU146" s="193"/>
      <c r="AV146" s="193"/>
      <c r="AW146" s="193"/>
      <c r="AX146" s="193"/>
      <c r="AY146" s="193"/>
      <c r="AZ146" s="193"/>
      <c r="BA146" s="193"/>
      <c r="BB146" s="193"/>
      <c r="BC146" s="193"/>
      <c r="BD146" s="193"/>
      <c r="BE146" s="193"/>
    </row>
    <row r="147" spans="1:57" x14ac:dyDescent="0.2">
      <c r="A147" s="279"/>
      <c r="B147" s="279"/>
      <c r="C147" s="275"/>
      <c r="D147" s="275"/>
      <c r="E147" s="193"/>
      <c r="F147" s="193"/>
      <c r="G147" s="193"/>
      <c r="H147" s="193"/>
      <c r="I147" s="193"/>
      <c r="J147" s="193"/>
      <c r="K147" s="193"/>
      <c r="L147" s="193"/>
      <c r="M147" s="193"/>
      <c r="N147" s="193"/>
      <c r="O147" s="193"/>
      <c r="P147" s="193"/>
      <c r="Q147" s="193"/>
      <c r="R147" s="193"/>
      <c r="S147" s="193"/>
      <c r="T147" s="193"/>
      <c r="U147" s="193"/>
      <c r="V147" s="193"/>
      <c r="W147" s="193"/>
      <c r="X147" s="193"/>
      <c r="Y147" s="193"/>
      <c r="Z147" s="193"/>
      <c r="AA147" s="193"/>
      <c r="AB147" s="193"/>
      <c r="AC147" s="193"/>
      <c r="AD147" s="193"/>
      <c r="AE147" s="193"/>
      <c r="AF147" s="193"/>
      <c r="AG147" s="193"/>
      <c r="AH147" s="193"/>
      <c r="AI147" s="193"/>
      <c r="AJ147" s="193"/>
      <c r="AK147" s="193"/>
      <c r="AL147" s="193"/>
      <c r="AM147" s="193"/>
      <c r="AN147" s="193"/>
      <c r="AO147" s="193"/>
      <c r="AP147" s="193"/>
      <c r="AQ147" s="193"/>
      <c r="AR147" s="193"/>
      <c r="AS147" s="193"/>
      <c r="AT147" s="193"/>
      <c r="AU147" s="193"/>
      <c r="AV147" s="193"/>
      <c r="AW147" s="193"/>
      <c r="AX147" s="193"/>
      <c r="AY147" s="193"/>
      <c r="AZ147" s="193"/>
      <c r="BA147" s="193"/>
      <c r="BB147" s="193"/>
      <c r="BC147" s="193"/>
      <c r="BD147" s="193"/>
      <c r="BE147" s="193"/>
    </row>
    <row r="148" spans="1:57" x14ac:dyDescent="0.2">
      <c r="A148" s="279"/>
      <c r="B148" s="279"/>
      <c r="C148" s="275"/>
      <c r="D148" s="275"/>
      <c r="E148" s="193"/>
      <c r="F148" s="193"/>
      <c r="G148" s="193"/>
      <c r="H148" s="193"/>
      <c r="I148" s="193"/>
      <c r="J148" s="193"/>
      <c r="K148" s="193"/>
      <c r="L148" s="193"/>
      <c r="M148" s="193"/>
      <c r="N148" s="193"/>
      <c r="O148" s="193"/>
      <c r="P148" s="193"/>
      <c r="Q148" s="193"/>
      <c r="R148" s="193"/>
      <c r="S148" s="193"/>
      <c r="T148" s="193"/>
      <c r="U148" s="193"/>
      <c r="V148" s="193"/>
      <c r="W148" s="193"/>
      <c r="X148" s="193"/>
      <c r="Y148" s="193"/>
      <c r="Z148" s="193"/>
      <c r="AA148" s="193"/>
      <c r="AB148" s="193"/>
      <c r="AC148" s="193"/>
      <c r="AD148" s="193"/>
      <c r="AE148" s="193"/>
      <c r="AF148" s="193"/>
      <c r="AG148" s="193"/>
      <c r="AH148" s="193"/>
      <c r="AI148" s="193"/>
      <c r="AJ148" s="193"/>
      <c r="AK148" s="193"/>
      <c r="AL148" s="193"/>
      <c r="AM148" s="193"/>
      <c r="AN148" s="193"/>
      <c r="AO148" s="193"/>
      <c r="AP148" s="193"/>
      <c r="AQ148" s="193"/>
      <c r="AR148" s="193"/>
      <c r="AS148" s="193"/>
      <c r="AT148" s="193"/>
      <c r="AU148" s="193"/>
      <c r="AV148" s="193"/>
      <c r="AW148" s="193"/>
      <c r="AX148" s="193"/>
      <c r="AY148" s="193"/>
      <c r="AZ148" s="193"/>
      <c r="BA148" s="193"/>
      <c r="BB148" s="193"/>
      <c r="BC148" s="193"/>
      <c r="BD148" s="193"/>
      <c r="BE148" s="193"/>
    </row>
    <row r="149" spans="1:57" x14ac:dyDescent="0.2">
      <c r="A149" s="279"/>
      <c r="B149" s="279"/>
      <c r="C149" s="275"/>
      <c r="D149" s="275"/>
      <c r="E149" s="193"/>
      <c r="F149" s="193"/>
      <c r="G149" s="193"/>
      <c r="H149" s="193"/>
      <c r="I149" s="193"/>
      <c r="J149" s="193"/>
      <c r="K149" s="193"/>
      <c r="L149" s="193"/>
      <c r="M149" s="193"/>
      <c r="N149" s="193"/>
      <c r="O149" s="193"/>
      <c r="P149" s="193"/>
      <c r="Q149" s="193"/>
      <c r="R149" s="193"/>
      <c r="S149" s="193"/>
      <c r="T149" s="193"/>
      <c r="U149" s="193"/>
      <c r="V149" s="193"/>
      <c r="W149" s="193"/>
      <c r="X149" s="193"/>
      <c r="Y149" s="193"/>
      <c r="Z149" s="193"/>
      <c r="AA149" s="193"/>
      <c r="AB149" s="193"/>
      <c r="AC149" s="193"/>
      <c r="AD149" s="193"/>
      <c r="AE149" s="193"/>
      <c r="AF149" s="193"/>
      <c r="AG149" s="193"/>
      <c r="AH149" s="193"/>
      <c r="AI149" s="193"/>
      <c r="AJ149" s="193"/>
      <c r="AK149" s="193"/>
      <c r="AL149" s="193"/>
      <c r="AM149" s="193"/>
      <c r="AN149" s="193"/>
      <c r="AO149" s="193"/>
      <c r="AP149" s="193"/>
      <c r="AQ149" s="193"/>
      <c r="AR149" s="193"/>
      <c r="AS149" s="193"/>
      <c r="AT149" s="193"/>
      <c r="AU149" s="193"/>
      <c r="AV149" s="193"/>
      <c r="AW149" s="193"/>
      <c r="AX149" s="193"/>
      <c r="AY149" s="193"/>
      <c r="AZ149" s="193"/>
      <c r="BA149" s="193"/>
      <c r="BB149" s="193"/>
      <c r="BC149" s="193"/>
      <c r="BD149" s="193"/>
      <c r="BE149" s="193"/>
    </row>
    <row r="150" spans="1:57" x14ac:dyDescent="0.2">
      <c r="A150" s="279"/>
      <c r="B150" s="279"/>
      <c r="C150" s="275"/>
      <c r="D150" s="275"/>
      <c r="E150" s="193"/>
      <c r="F150" s="193"/>
      <c r="G150" s="193"/>
      <c r="H150" s="193"/>
      <c r="I150" s="193"/>
      <c r="J150" s="193"/>
      <c r="K150" s="193"/>
      <c r="L150" s="193"/>
      <c r="M150" s="193"/>
      <c r="N150" s="193"/>
      <c r="O150" s="193"/>
      <c r="P150" s="193"/>
      <c r="Q150" s="193"/>
      <c r="R150" s="193"/>
      <c r="S150" s="193"/>
      <c r="T150" s="193"/>
      <c r="U150" s="193"/>
      <c r="V150" s="193"/>
      <c r="W150" s="193"/>
      <c r="X150" s="193"/>
      <c r="Y150" s="193"/>
      <c r="Z150" s="193"/>
      <c r="AA150" s="193"/>
      <c r="AB150" s="193"/>
      <c r="AC150" s="193"/>
      <c r="AD150" s="193"/>
      <c r="AE150" s="193"/>
      <c r="AF150" s="193"/>
      <c r="AG150" s="193"/>
      <c r="AH150" s="193"/>
      <c r="AI150" s="193"/>
      <c r="AJ150" s="193"/>
      <c r="AK150" s="193"/>
      <c r="AL150" s="193"/>
      <c r="AM150" s="193"/>
      <c r="AN150" s="193"/>
      <c r="AO150" s="193"/>
      <c r="AP150" s="193"/>
      <c r="AQ150" s="193"/>
      <c r="AR150" s="193"/>
      <c r="AS150" s="193"/>
      <c r="AT150" s="193"/>
      <c r="AU150" s="193"/>
      <c r="AV150" s="193"/>
      <c r="AW150" s="193"/>
      <c r="AX150" s="193"/>
      <c r="AY150" s="193"/>
      <c r="AZ150" s="193"/>
      <c r="BA150" s="193"/>
      <c r="BB150" s="193"/>
      <c r="BC150" s="193"/>
      <c r="BD150" s="193"/>
      <c r="BE150" s="193"/>
    </row>
    <row r="151" spans="1:57" x14ac:dyDescent="0.2">
      <c r="A151" s="279"/>
      <c r="B151" s="279"/>
      <c r="C151" s="275"/>
      <c r="D151" s="275"/>
      <c r="E151" s="193"/>
      <c r="F151" s="193"/>
      <c r="G151" s="193"/>
      <c r="H151" s="193"/>
      <c r="I151" s="193"/>
      <c r="J151" s="193"/>
      <c r="K151" s="193"/>
      <c r="L151" s="193"/>
      <c r="M151" s="193"/>
      <c r="N151" s="193"/>
      <c r="O151" s="193"/>
      <c r="P151" s="193"/>
      <c r="Q151" s="193"/>
      <c r="R151" s="193"/>
      <c r="S151" s="193"/>
      <c r="T151" s="193"/>
      <c r="U151" s="193"/>
      <c r="V151" s="193"/>
      <c r="W151" s="193"/>
      <c r="X151" s="193"/>
      <c r="Y151" s="193"/>
      <c r="Z151" s="193"/>
      <c r="AA151" s="193"/>
      <c r="AB151" s="193"/>
      <c r="AC151" s="193"/>
      <c r="AD151" s="193"/>
      <c r="AE151" s="193"/>
      <c r="AF151" s="193"/>
      <c r="AG151" s="193"/>
      <c r="AH151" s="193"/>
      <c r="AI151" s="193"/>
      <c r="AJ151" s="193"/>
      <c r="AK151" s="193"/>
      <c r="AL151" s="193"/>
      <c r="AM151" s="193"/>
      <c r="AN151" s="193"/>
      <c r="AO151" s="193"/>
      <c r="AP151" s="193"/>
      <c r="AQ151" s="193"/>
      <c r="AR151" s="193"/>
      <c r="AS151" s="193"/>
      <c r="AT151" s="193"/>
      <c r="AU151" s="193"/>
      <c r="AV151" s="193"/>
      <c r="AW151" s="193"/>
      <c r="AX151" s="193"/>
      <c r="AY151" s="193"/>
      <c r="AZ151" s="193"/>
      <c r="BA151" s="193"/>
      <c r="BB151" s="193"/>
      <c r="BC151" s="193"/>
      <c r="BD151" s="193"/>
      <c r="BE151" s="193"/>
    </row>
    <row r="152" spans="1:57" x14ac:dyDescent="0.2">
      <c r="A152" s="279"/>
      <c r="B152" s="279"/>
      <c r="C152" s="275"/>
      <c r="D152" s="275"/>
      <c r="E152" s="193"/>
      <c r="F152" s="193"/>
      <c r="G152" s="193"/>
      <c r="H152" s="193"/>
      <c r="I152" s="193"/>
      <c r="J152" s="193"/>
      <c r="K152" s="193"/>
      <c r="L152" s="193"/>
      <c r="M152" s="193"/>
      <c r="N152" s="193"/>
      <c r="O152" s="193"/>
      <c r="P152" s="193"/>
      <c r="Q152" s="193"/>
      <c r="R152" s="193"/>
      <c r="S152" s="193"/>
      <c r="T152" s="193"/>
      <c r="U152" s="193"/>
      <c r="V152" s="193"/>
      <c r="W152" s="193"/>
      <c r="X152" s="193"/>
      <c r="Y152" s="193"/>
      <c r="Z152" s="193"/>
      <c r="AA152" s="193"/>
      <c r="AB152" s="193"/>
      <c r="AC152" s="193"/>
      <c r="AD152" s="193"/>
      <c r="AE152" s="193"/>
      <c r="AF152" s="193"/>
      <c r="AG152" s="193"/>
      <c r="AH152" s="193"/>
      <c r="AI152" s="193"/>
      <c r="AJ152" s="193"/>
      <c r="AK152" s="193"/>
      <c r="AL152" s="193"/>
      <c r="AM152" s="193"/>
      <c r="AN152" s="193"/>
      <c r="AO152" s="193"/>
      <c r="AP152" s="193"/>
      <c r="AQ152" s="193"/>
      <c r="AR152" s="193"/>
      <c r="AS152" s="193"/>
      <c r="AT152" s="193"/>
      <c r="AU152" s="193"/>
      <c r="AV152" s="193"/>
      <c r="AW152" s="193"/>
      <c r="AX152" s="193"/>
      <c r="AY152" s="193"/>
      <c r="AZ152" s="193"/>
      <c r="BA152" s="193"/>
      <c r="BB152" s="193"/>
      <c r="BC152" s="193"/>
      <c r="BD152" s="193"/>
      <c r="BE152" s="193"/>
    </row>
    <row r="153" spans="1:57" x14ac:dyDescent="0.2">
      <c r="A153" s="279"/>
      <c r="B153" s="279"/>
      <c r="C153" s="275"/>
      <c r="D153" s="275"/>
      <c r="E153" s="193"/>
      <c r="F153" s="193"/>
      <c r="G153" s="193"/>
      <c r="H153" s="193"/>
      <c r="I153" s="193"/>
      <c r="J153" s="193"/>
      <c r="K153" s="193"/>
      <c r="L153" s="193"/>
      <c r="M153" s="193"/>
      <c r="N153" s="193"/>
      <c r="O153" s="193"/>
      <c r="P153" s="193"/>
      <c r="Q153" s="193"/>
      <c r="R153" s="193"/>
      <c r="S153" s="193"/>
      <c r="T153" s="193"/>
      <c r="U153" s="193"/>
      <c r="V153" s="193"/>
      <c r="W153" s="193"/>
      <c r="X153" s="193"/>
      <c r="Y153" s="193"/>
      <c r="Z153" s="193"/>
      <c r="AA153" s="193"/>
      <c r="AB153" s="193"/>
      <c r="AC153" s="193"/>
      <c r="AD153" s="193"/>
      <c r="AE153" s="193"/>
      <c r="AF153" s="193"/>
      <c r="AG153" s="193"/>
      <c r="AH153" s="193"/>
      <c r="AI153" s="193"/>
      <c r="AJ153" s="193"/>
      <c r="AK153" s="193"/>
      <c r="AL153" s="193"/>
      <c r="AM153" s="193"/>
      <c r="AN153" s="193"/>
      <c r="AO153" s="193"/>
      <c r="AP153" s="193"/>
      <c r="AQ153" s="193"/>
      <c r="AR153" s="193"/>
      <c r="AS153" s="193"/>
      <c r="AT153" s="193"/>
      <c r="AU153" s="193"/>
      <c r="AV153" s="193"/>
      <c r="AW153" s="193"/>
      <c r="AX153" s="193"/>
      <c r="AY153" s="193"/>
      <c r="AZ153" s="193"/>
      <c r="BA153" s="193"/>
      <c r="BB153" s="193"/>
      <c r="BC153" s="193"/>
      <c r="BD153" s="193"/>
      <c r="BE153" s="193"/>
    </row>
    <row r="154" spans="1:57" x14ac:dyDescent="0.2">
      <c r="A154" s="279"/>
      <c r="B154" s="279"/>
      <c r="C154" s="275"/>
      <c r="D154" s="275"/>
      <c r="E154" s="193"/>
      <c r="F154" s="193"/>
      <c r="G154" s="193"/>
      <c r="H154" s="193"/>
      <c r="I154" s="193"/>
      <c r="J154" s="193"/>
      <c r="K154" s="193"/>
      <c r="L154" s="193"/>
      <c r="M154" s="193"/>
      <c r="N154" s="193"/>
      <c r="O154" s="193"/>
      <c r="P154" s="193"/>
      <c r="Q154" s="193"/>
      <c r="R154" s="193"/>
      <c r="S154" s="193"/>
      <c r="T154" s="193"/>
      <c r="U154" s="193"/>
      <c r="V154" s="193"/>
      <c r="W154" s="193"/>
      <c r="X154" s="193"/>
      <c r="Y154" s="193"/>
      <c r="Z154" s="193"/>
      <c r="AA154" s="193"/>
      <c r="AB154" s="193"/>
      <c r="AC154" s="193"/>
      <c r="AD154" s="193"/>
      <c r="AE154" s="193"/>
      <c r="AF154" s="193"/>
      <c r="AG154" s="193"/>
      <c r="AH154" s="193"/>
      <c r="AI154" s="193"/>
      <c r="AJ154" s="193"/>
      <c r="AK154" s="193"/>
      <c r="AL154" s="193"/>
      <c r="AM154" s="193"/>
      <c r="AN154" s="193"/>
      <c r="AO154" s="193"/>
      <c r="AP154" s="193"/>
      <c r="AQ154" s="193"/>
      <c r="AR154" s="193"/>
      <c r="AS154" s="193"/>
      <c r="AT154" s="193"/>
      <c r="AU154" s="193"/>
      <c r="AV154" s="193"/>
      <c r="AW154" s="193"/>
      <c r="AX154" s="193"/>
      <c r="AY154" s="193"/>
      <c r="AZ154" s="193"/>
      <c r="BA154" s="193"/>
      <c r="BB154" s="193"/>
      <c r="BC154" s="193"/>
      <c r="BD154" s="193"/>
      <c r="BE154" s="193"/>
    </row>
    <row r="155" spans="1:57" x14ac:dyDescent="0.2">
      <c r="A155" s="279"/>
      <c r="B155" s="279"/>
      <c r="C155" s="275"/>
      <c r="D155" s="275"/>
      <c r="E155" s="193"/>
      <c r="F155" s="193"/>
      <c r="G155" s="193"/>
      <c r="H155" s="193"/>
      <c r="I155" s="193"/>
      <c r="J155" s="193"/>
      <c r="K155" s="193"/>
      <c r="L155" s="193"/>
      <c r="M155" s="193"/>
      <c r="N155" s="193"/>
      <c r="O155" s="193"/>
      <c r="P155" s="193"/>
      <c r="Q155" s="193"/>
      <c r="R155" s="193"/>
      <c r="S155" s="193"/>
      <c r="T155" s="193"/>
      <c r="U155" s="193"/>
      <c r="V155" s="193"/>
      <c r="W155" s="193"/>
      <c r="X155" s="193"/>
      <c r="Y155" s="193"/>
      <c r="Z155" s="193"/>
      <c r="AA155" s="193"/>
      <c r="AB155" s="193"/>
      <c r="AC155" s="193"/>
      <c r="AD155" s="193"/>
      <c r="AE155" s="193"/>
      <c r="AF155" s="193"/>
      <c r="AG155" s="193"/>
      <c r="AH155" s="193"/>
      <c r="AI155" s="193"/>
      <c r="AJ155" s="193"/>
      <c r="AK155" s="193"/>
      <c r="AL155" s="193"/>
      <c r="AM155" s="193"/>
      <c r="AN155" s="193"/>
      <c r="AO155" s="193"/>
      <c r="AP155" s="193"/>
      <c r="AQ155" s="193"/>
      <c r="AR155" s="193"/>
      <c r="AS155" s="193"/>
      <c r="AT155" s="193"/>
      <c r="AU155" s="193"/>
      <c r="AV155" s="193"/>
      <c r="AW155" s="193"/>
      <c r="AX155" s="193"/>
      <c r="AY155" s="193"/>
      <c r="AZ155" s="193"/>
      <c r="BA155" s="193"/>
      <c r="BB155" s="193"/>
      <c r="BC155" s="193"/>
      <c r="BD155" s="193"/>
      <c r="BE155" s="193"/>
    </row>
    <row r="156" spans="1:57" x14ac:dyDescent="0.2">
      <c r="A156" s="279"/>
      <c r="B156" s="279"/>
      <c r="C156" s="275"/>
      <c r="D156" s="275"/>
      <c r="E156" s="193"/>
      <c r="F156" s="193"/>
      <c r="G156" s="193"/>
      <c r="H156" s="193"/>
      <c r="I156" s="193"/>
      <c r="J156" s="193"/>
      <c r="K156" s="193"/>
      <c r="L156" s="193"/>
      <c r="M156" s="193"/>
      <c r="N156" s="193"/>
      <c r="O156" s="193"/>
      <c r="P156" s="193"/>
      <c r="Q156" s="193"/>
      <c r="R156" s="193"/>
      <c r="S156" s="193"/>
      <c r="T156" s="193"/>
      <c r="U156" s="193"/>
      <c r="V156" s="193"/>
      <c r="W156" s="193"/>
      <c r="X156" s="193"/>
      <c r="Y156" s="193"/>
      <c r="Z156" s="193"/>
      <c r="AA156" s="193"/>
      <c r="AB156" s="193"/>
      <c r="AC156" s="193"/>
      <c r="AD156" s="193"/>
      <c r="AE156" s="193"/>
      <c r="AF156" s="193"/>
      <c r="AG156" s="193"/>
      <c r="AH156" s="193"/>
      <c r="AI156" s="193"/>
      <c r="AJ156" s="193"/>
      <c r="AK156" s="193"/>
      <c r="AL156" s="193"/>
      <c r="AM156" s="193"/>
      <c r="AN156" s="193"/>
      <c r="AO156" s="193"/>
      <c r="AP156" s="193"/>
      <c r="AQ156" s="193"/>
      <c r="AR156" s="193"/>
      <c r="AS156" s="193"/>
      <c r="AT156" s="193"/>
      <c r="AU156" s="193"/>
      <c r="AV156" s="193"/>
      <c r="AW156" s="193"/>
      <c r="AX156" s="193"/>
      <c r="AY156" s="193"/>
      <c r="AZ156" s="193"/>
      <c r="BA156" s="193"/>
      <c r="BB156" s="193"/>
      <c r="BC156" s="193"/>
      <c r="BD156" s="193"/>
      <c r="BE156" s="193"/>
    </row>
    <row r="157" spans="1:57" x14ac:dyDescent="0.2">
      <c r="A157" s="279"/>
      <c r="B157" s="279"/>
      <c r="C157" s="275"/>
      <c r="D157" s="275"/>
      <c r="E157" s="193"/>
      <c r="F157" s="193"/>
      <c r="G157" s="193"/>
      <c r="H157" s="193"/>
      <c r="I157" s="193"/>
      <c r="J157" s="193"/>
      <c r="K157" s="193"/>
      <c r="L157" s="193"/>
      <c r="M157" s="193"/>
      <c r="N157" s="193"/>
      <c r="O157" s="193"/>
      <c r="P157" s="193"/>
      <c r="Q157" s="193"/>
      <c r="R157" s="193"/>
      <c r="S157" s="193"/>
      <c r="T157" s="193"/>
      <c r="U157" s="193"/>
      <c r="V157" s="193"/>
      <c r="W157" s="193"/>
      <c r="X157" s="193"/>
      <c r="Y157" s="193"/>
      <c r="Z157" s="193"/>
      <c r="AA157" s="193"/>
      <c r="AB157" s="193"/>
      <c r="AC157" s="193"/>
      <c r="AD157" s="193"/>
      <c r="AE157" s="193"/>
      <c r="AF157" s="193"/>
      <c r="AG157" s="193"/>
      <c r="AH157" s="193"/>
      <c r="AI157" s="193"/>
      <c r="AJ157" s="193"/>
      <c r="AK157" s="193"/>
      <c r="AL157" s="193"/>
      <c r="AM157" s="193"/>
      <c r="AN157" s="193"/>
      <c r="AO157" s="193"/>
      <c r="AP157" s="193"/>
      <c r="AQ157" s="193"/>
      <c r="AR157" s="193"/>
      <c r="AS157" s="193"/>
      <c r="AT157" s="193"/>
      <c r="AU157" s="193"/>
      <c r="AV157" s="193"/>
      <c r="AW157" s="193"/>
      <c r="AX157" s="193"/>
      <c r="AY157" s="193"/>
      <c r="AZ157" s="193"/>
      <c r="BA157" s="193"/>
      <c r="BB157" s="193"/>
      <c r="BC157" s="193"/>
      <c r="BD157" s="193"/>
      <c r="BE157" s="193"/>
    </row>
    <row r="158" spans="1:57" x14ac:dyDescent="0.2">
      <c r="A158" s="279"/>
      <c r="B158" s="279"/>
      <c r="C158" s="275"/>
      <c r="D158" s="275"/>
      <c r="E158" s="193"/>
      <c r="F158" s="193"/>
      <c r="G158" s="193"/>
      <c r="H158" s="193"/>
      <c r="I158" s="193"/>
      <c r="J158" s="193"/>
      <c r="K158" s="193"/>
      <c r="L158" s="193"/>
      <c r="M158" s="193"/>
      <c r="N158" s="193"/>
      <c r="O158" s="193"/>
      <c r="P158" s="193"/>
      <c r="Q158" s="193"/>
      <c r="R158" s="193"/>
      <c r="S158" s="193"/>
      <c r="T158" s="193"/>
      <c r="U158" s="193"/>
      <c r="V158" s="193"/>
      <c r="W158" s="193"/>
      <c r="X158" s="193"/>
      <c r="Y158" s="193"/>
      <c r="Z158" s="193"/>
      <c r="AA158" s="193"/>
      <c r="AB158" s="193"/>
      <c r="AC158" s="193"/>
      <c r="AD158" s="193"/>
      <c r="AE158" s="193"/>
      <c r="AF158" s="193"/>
      <c r="AG158" s="193"/>
      <c r="AH158" s="193"/>
      <c r="AI158" s="193"/>
      <c r="AJ158" s="193"/>
      <c r="AK158" s="193"/>
      <c r="AL158" s="193"/>
      <c r="AM158" s="193"/>
      <c r="AN158" s="193"/>
      <c r="AO158" s="193"/>
      <c r="AP158" s="193"/>
      <c r="AQ158" s="193"/>
      <c r="AR158" s="193"/>
      <c r="AS158" s="193"/>
      <c r="AT158" s="193"/>
      <c r="AU158" s="193"/>
      <c r="AV158" s="193"/>
      <c r="AW158" s="193"/>
      <c r="AX158" s="193"/>
      <c r="AY158" s="193"/>
      <c r="AZ158" s="193"/>
      <c r="BA158" s="193"/>
      <c r="BB158" s="193"/>
      <c r="BC158" s="193"/>
      <c r="BD158" s="193"/>
      <c r="BE158" s="193"/>
    </row>
    <row r="159" spans="1:57" x14ac:dyDescent="0.2">
      <c r="A159" s="279"/>
      <c r="B159" s="279"/>
      <c r="C159" s="275"/>
      <c r="D159" s="275"/>
      <c r="E159" s="193"/>
      <c r="F159" s="193"/>
      <c r="G159" s="193"/>
      <c r="H159" s="193"/>
      <c r="I159" s="193"/>
      <c r="J159" s="193"/>
      <c r="K159" s="193"/>
      <c r="L159" s="193"/>
      <c r="M159" s="193"/>
      <c r="N159" s="193"/>
      <c r="O159" s="193"/>
      <c r="P159" s="193"/>
      <c r="Q159" s="193"/>
      <c r="R159" s="193"/>
      <c r="S159" s="193"/>
      <c r="T159" s="193"/>
      <c r="U159" s="193"/>
      <c r="V159" s="193"/>
      <c r="W159" s="193"/>
      <c r="X159" s="193"/>
      <c r="Y159" s="193"/>
      <c r="Z159" s="193"/>
      <c r="AA159" s="193"/>
      <c r="AB159" s="193"/>
      <c r="AC159" s="193"/>
      <c r="AD159" s="193"/>
      <c r="AE159" s="193"/>
      <c r="AF159" s="193"/>
      <c r="AG159" s="193"/>
      <c r="AH159" s="193"/>
      <c r="AI159" s="193"/>
      <c r="AJ159" s="193"/>
      <c r="AK159" s="193"/>
      <c r="AL159" s="193"/>
      <c r="AM159" s="193"/>
      <c r="AN159" s="193"/>
      <c r="AO159" s="193"/>
      <c r="AP159" s="193"/>
      <c r="AQ159" s="193"/>
      <c r="AR159" s="193"/>
      <c r="AS159" s="193"/>
      <c r="AT159" s="193"/>
      <c r="AU159" s="193"/>
      <c r="AV159" s="193"/>
      <c r="AW159" s="193"/>
      <c r="AX159" s="193"/>
      <c r="AY159" s="193"/>
      <c r="AZ159" s="193"/>
      <c r="BA159" s="193"/>
      <c r="BB159" s="193"/>
      <c r="BC159" s="193"/>
      <c r="BD159" s="193"/>
      <c r="BE159" s="193"/>
    </row>
    <row r="160" spans="1:57" x14ac:dyDescent="0.2">
      <c r="A160" s="279"/>
      <c r="B160" s="279"/>
      <c r="C160" s="275"/>
      <c r="D160" s="275"/>
      <c r="E160" s="193"/>
      <c r="F160" s="193"/>
      <c r="G160" s="193"/>
      <c r="H160" s="193"/>
      <c r="I160" s="193"/>
      <c r="J160" s="193"/>
      <c r="K160" s="193"/>
      <c r="L160" s="193"/>
      <c r="M160" s="193"/>
      <c r="N160" s="193"/>
      <c r="O160" s="193"/>
      <c r="P160" s="193"/>
      <c r="Q160" s="193"/>
      <c r="R160" s="193"/>
      <c r="S160" s="193"/>
      <c r="T160" s="193"/>
      <c r="U160" s="193"/>
      <c r="V160" s="193"/>
      <c r="W160" s="193"/>
      <c r="X160" s="193"/>
      <c r="Y160" s="193"/>
      <c r="Z160" s="193"/>
      <c r="AA160" s="193"/>
      <c r="AB160" s="193"/>
      <c r="AC160" s="193"/>
      <c r="AD160" s="193"/>
      <c r="AE160" s="193"/>
      <c r="AF160" s="193"/>
      <c r="AG160" s="193"/>
      <c r="AH160" s="193"/>
      <c r="AI160" s="193"/>
      <c r="AJ160" s="193"/>
      <c r="AK160" s="193"/>
      <c r="AL160" s="193"/>
      <c r="AM160" s="193"/>
      <c r="AN160" s="193"/>
      <c r="AO160" s="193"/>
      <c r="AP160" s="193"/>
      <c r="AQ160" s="193"/>
      <c r="AR160" s="193"/>
      <c r="AS160" s="193"/>
      <c r="AT160" s="193"/>
      <c r="AU160" s="193"/>
      <c r="AV160" s="193"/>
      <c r="AW160" s="193"/>
      <c r="AX160" s="193"/>
      <c r="AY160" s="193"/>
      <c r="AZ160" s="193"/>
      <c r="BA160" s="193"/>
      <c r="BB160" s="193"/>
      <c r="BC160" s="193"/>
      <c r="BD160" s="193"/>
      <c r="BE160" s="193"/>
    </row>
    <row r="161" spans="1:57" x14ac:dyDescent="0.2">
      <c r="A161" s="279"/>
      <c r="B161" s="279"/>
      <c r="C161" s="275"/>
      <c r="D161" s="275"/>
      <c r="E161" s="193"/>
      <c r="F161" s="193"/>
      <c r="G161" s="193"/>
      <c r="H161" s="193"/>
      <c r="I161" s="193"/>
      <c r="J161" s="193"/>
      <c r="K161" s="193"/>
      <c r="L161" s="193"/>
      <c r="M161" s="193"/>
      <c r="N161" s="193"/>
      <c r="O161" s="193"/>
      <c r="P161" s="193"/>
      <c r="Q161" s="193"/>
      <c r="R161" s="193"/>
      <c r="S161" s="193"/>
      <c r="T161" s="193"/>
      <c r="U161" s="193"/>
      <c r="V161" s="193"/>
      <c r="W161" s="193"/>
      <c r="X161" s="193"/>
      <c r="Y161" s="193"/>
      <c r="Z161" s="193"/>
      <c r="AA161" s="193"/>
      <c r="AB161" s="193"/>
      <c r="AC161" s="193"/>
      <c r="AD161" s="193"/>
      <c r="AE161" s="193"/>
      <c r="AF161" s="193"/>
      <c r="AG161" s="193"/>
      <c r="AH161" s="193"/>
      <c r="AI161" s="193"/>
      <c r="AJ161" s="193"/>
      <c r="AK161" s="193"/>
      <c r="AL161" s="193"/>
      <c r="AM161" s="193"/>
      <c r="AN161" s="193"/>
      <c r="AO161" s="193"/>
      <c r="AP161" s="193"/>
      <c r="AQ161" s="193"/>
      <c r="AR161" s="193"/>
      <c r="AS161" s="193"/>
      <c r="AT161" s="193"/>
      <c r="AU161" s="193"/>
      <c r="AV161" s="193"/>
      <c r="AW161" s="193"/>
      <c r="AX161" s="193"/>
      <c r="AY161" s="193"/>
      <c r="AZ161" s="193"/>
      <c r="BA161" s="193"/>
      <c r="BB161" s="193"/>
      <c r="BC161" s="193"/>
      <c r="BD161" s="193"/>
      <c r="BE161" s="193"/>
    </row>
    <row r="162" spans="1:57" x14ac:dyDescent="0.2">
      <c r="A162" s="279"/>
      <c r="B162" s="279"/>
      <c r="C162" s="275"/>
      <c r="D162" s="275"/>
      <c r="E162" s="193"/>
      <c r="F162" s="193"/>
      <c r="G162" s="193"/>
      <c r="H162" s="193"/>
      <c r="I162" s="193"/>
      <c r="J162" s="193"/>
      <c r="K162" s="193"/>
      <c r="L162" s="193"/>
      <c r="M162" s="193"/>
      <c r="N162" s="193"/>
      <c r="O162" s="193"/>
      <c r="P162" s="193"/>
      <c r="Q162" s="193"/>
      <c r="R162" s="193"/>
      <c r="S162" s="193"/>
      <c r="T162" s="193"/>
      <c r="U162" s="193"/>
      <c r="V162" s="193"/>
      <c r="W162" s="193"/>
      <c r="X162" s="193"/>
      <c r="Y162" s="193"/>
      <c r="Z162" s="193"/>
      <c r="AA162" s="193"/>
      <c r="AB162" s="193"/>
      <c r="AC162" s="193"/>
      <c r="AD162" s="193"/>
      <c r="AE162" s="193"/>
      <c r="AF162" s="193"/>
      <c r="AG162" s="193"/>
      <c r="AH162" s="193"/>
      <c r="AI162" s="193"/>
      <c r="AJ162" s="193"/>
      <c r="AK162" s="193"/>
      <c r="AL162" s="193"/>
      <c r="AM162" s="193"/>
      <c r="AN162" s="193"/>
      <c r="AO162" s="193"/>
      <c r="AP162" s="193"/>
      <c r="AQ162" s="193"/>
      <c r="AR162" s="193"/>
      <c r="AS162" s="193"/>
      <c r="AT162" s="193"/>
      <c r="AU162" s="193"/>
      <c r="AV162" s="193"/>
      <c r="AW162" s="193"/>
      <c r="AX162" s="193"/>
      <c r="AY162" s="193"/>
      <c r="AZ162" s="193"/>
      <c r="BA162" s="193"/>
      <c r="BB162" s="193"/>
      <c r="BC162" s="193"/>
      <c r="BD162" s="193"/>
      <c r="BE162" s="193"/>
    </row>
    <row r="163" spans="1:57" x14ac:dyDescent="0.2">
      <c r="A163" s="279"/>
      <c r="B163" s="279"/>
      <c r="C163" s="275"/>
      <c r="D163" s="275"/>
      <c r="E163" s="193"/>
      <c r="F163" s="193"/>
      <c r="G163" s="193"/>
      <c r="H163" s="193"/>
      <c r="I163" s="193"/>
      <c r="J163" s="193"/>
      <c r="K163" s="193"/>
      <c r="L163" s="193"/>
      <c r="M163" s="193"/>
      <c r="N163" s="193"/>
      <c r="O163" s="193"/>
      <c r="P163" s="193"/>
      <c r="Q163" s="193"/>
      <c r="R163" s="193"/>
      <c r="S163" s="193"/>
      <c r="T163" s="193"/>
      <c r="U163" s="193"/>
      <c r="V163" s="193"/>
      <c r="W163" s="193"/>
      <c r="X163" s="193"/>
      <c r="Y163" s="193"/>
      <c r="Z163" s="193"/>
      <c r="AA163" s="193"/>
      <c r="AB163" s="193"/>
      <c r="AC163" s="193"/>
      <c r="AD163" s="193"/>
      <c r="AE163" s="193"/>
      <c r="AF163" s="193"/>
      <c r="AG163" s="193"/>
      <c r="AH163" s="193"/>
      <c r="AI163" s="193"/>
      <c r="AJ163" s="193"/>
      <c r="AK163" s="193"/>
      <c r="AL163" s="193"/>
      <c r="AM163" s="193"/>
      <c r="AN163" s="193"/>
      <c r="AO163" s="193"/>
      <c r="AP163" s="193"/>
      <c r="AQ163" s="193"/>
      <c r="AR163" s="193"/>
      <c r="AS163" s="193"/>
      <c r="AT163" s="193"/>
      <c r="AU163" s="193"/>
      <c r="AV163" s="193"/>
      <c r="AW163" s="193"/>
      <c r="AX163" s="193"/>
      <c r="AY163" s="193"/>
      <c r="AZ163" s="193"/>
      <c r="BA163" s="193"/>
      <c r="BB163" s="193"/>
      <c r="BC163" s="193"/>
      <c r="BD163" s="193"/>
      <c r="BE163" s="193"/>
    </row>
    <row r="164" spans="1:57" x14ac:dyDescent="0.2">
      <c r="A164" s="279"/>
      <c r="B164" s="279"/>
      <c r="C164" s="275"/>
      <c r="D164" s="275"/>
      <c r="E164" s="193"/>
      <c r="F164" s="193"/>
      <c r="G164" s="193"/>
      <c r="H164" s="193"/>
      <c r="I164" s="193"/>
      <c r="J164" s="193"/>
      <c r="K164" s="193"/>
      <c r="L164" s="193"/>
      <c r="M164" s="193"/>
      <c r="N164" s="193"/>
      <c r="O164" s="193"/>
      <c r="P164" s="193"/>
      <c r="Q164" s="193"/>
      <c r="R164" s="193"/>
      <c r="S164" s="193"/>
      <c r="T164" s="193"/>
      <c r="U164" s="193"/>
      <c r="V164" s="193"/>
      <c r="W164" s="193"/>
      <c r="X164" s="193"/>
      <c r="Y164" s="193"/>
      <c r="Z164" s="193"/>
      <c r="AA164" s="193"/>
      <c r="AB164" s="193"/>
      <c r="AC164" s="193"/>
      <c r="AD164" s="193"/>
      <c r="AE164" s="193"/>
      <c r="AF164" s="193"/>
      <c r="AG164" s="193"/>
      <c r="AH164" s="193"/>
      <c r="AI164" s="193"/>
      <c r="AJ164" s="193"/>
      <c r="AK164" s="193"/>
      <c r="AL164" s="193"/>
      <c r="AM164" s="193"/>
      <c r="AN164" s="193"/>
      <c r="AO164" s="193"/>
      <c r="AP164" s="193"/>
      <c r="AQ164" s="193"/>
      <c r="AR164" s="193"/>
      <c r="AS164" s="193"/>
      <c r="AT164" s="193"/>
      <c r="AU164" s="193"/>
      <c r="AV164" s="193"/>
      <c r="AW164" s="193"/>
      <c r="AX164" s="193"/>
      <c r="AY164" s="193"/>
      <c r="AZ164" s="193"/>
      <c r="BA164" s="193"/>
      <c r="BB164" s="193"/>
      <c r="BC164" s="193"/>
      <c r="BD164" s="193"/>
      <c r="BE164" s="193"/>
    </row>
    <row r="165" spans="1:57" x14ac:dyDescent="0.2">
      <c r="A165" s="279"/>
      <c r="B165" s="279"/>
      <c r="C165" s="275"/>
      <c r="D165" s="275"/>
      <c r="E165" s="193"/>
      <c r="F165" s="193"/>
      <c r="G165" s="193"/>
      <c r="H165" s="193"/>
      <c r="I165" s="193"/>
      <c r="J165" s="193"/>
      <c r="K165" s="193"/>
      <c r="L165" s="193"/>
      <c r="M165" s="193"/>
      <c r="N165" s="193"/>
      <c r="O165" s="193"/>
      <c r="P165" s="193"/>
      <c r="Q165" s="193"/>
      <c r="R165" s="193"/>
      <c r="S165" s="193"/>
      <c r="T165" s="193"/>
      <c r="U165" s="193"/>
      <c r="V165" s="193"/>
      <c r="W165" s="193"/>
      <c r="X165" s="193"/>
      <c r="Y165" s="193"/>
      <c r="Z165" s="193"/>
      <c r="AA165" s="193"/>
      <c r="AB165" s="193"/>
      <c r="AC165" s="193"/>
      <c r="AD165" s="193"/>
      <c r="AE165" s="193"/>
      <c r="AF165" s="193"/>
      <c r="AG165" s="193"/>
      <c r="AH165" s="193"/>
      <c r="AI165" s="193"/>
      <c r="AJ165" s="193"/>
      <c r="AK165" s="193"/>
      <c r="AL165" s="193"/>
      <c r="AM165" s="193"/>
      <c r="AN165" s="193"/>
      <c r="AO165" s="193"/>
      <c r="AP165" s="193"/>
      <c r="AQ165" s="193"/>
      <c r="AR165" s="193"/>
      <c r="AS165" s="193"/>
      <c r="AT165" s="193"/>
      <c r="AU165" s="193"/>
      <c r="AV165" s="193"/>
      <c r="AW165" s="193"/>
      <c r="AX165" s="193"/>
      <c r="AY165" s="193"/>
      <c r="AZ165" s="193"/>
      <c r="BA165" s="193"/>
      <c r="BB165" s="193"/>
      <c r="BC165" s="193"/>
      <c r="BD165" s="193"/>
      <c r="BE165" s="193"/>
    </row>
    <row r="166" spans="1:57" x14ac:dyDescent="0.2">
      <c r="A166" s="279"/>
      <c r="B166" s="279"/>
      <c r="C166" s="275"/>
      <c r="D166" s="275"/>
      <c r="E166" s="193"/>
      <c r="F166" s="193"/>
      <c r="G166" s="193"/>
      <c r="H166" s="193"/>
      <c r="I166" s="193"/>
      <c r="J166" s="193"/>
      <c r="K166" s="193"/>
      <c r="L166" s="193"/>
      <c r="M166" s="193"/>
      <c r="N166" s="193"/>
      <c r="O166" s="193"/>
      <c r="P166" s="193"/>
      <c r="Q166" s="193"/>
      <c r="R166" s="193"/>
      <c r="S166" s="193"/>
      <c r="T166" s="193"/>
      <c r="U166" s="193"/>
      <c r="V166" s="193"/>
      <c r="W166" s="193"/>
      <c r="X166" s="193"/>
      <c r="Y166" s="193"/>
      <c r="Z166" s="193"/>
      <c r="AA166" s="193"/>
      <c r="AB166" s="193"/>
      <c r="AC166" s="193"/>
      <c r="AD166" s="193"/>
      <c r="AE166" s="193"/>
      <c r="AF166" s="193"/>
      <c r="AG166" s="193"/>
      <c r="AH166" s="193"/>
      <c r="AI166" s="193"/>
      <c r="AJ166" s="193"/>
      <c r="AK166" s="193"/>
      <c r="AL166" s="193"/>
      <c r="AM166" s="193"/>
      <c r="AN166" s="193"/>
      <c r="AO166" s="193"/>
      <c r="AP166" s="193"/>
      <c r="AQ166" s="193"/>
      <c r="AR166" s="193"/>
      <c r="AS166" s="193"/>
      <c r="AT166" s="193"/>
      <c r="AU166" s="193"/>
      <c r="AV166" s="193"/>
      <c r="AW166" s="193"/>
      <c r="AX166" s="193"/>
      <c r="AY166" s="193"/>
      <c r="AZ166" s="193"/>
      <c r="BA166" s="193"/>
      <c r="BB166" s="193"/>
      <c r="BC166" s="193"/>
      <c r="BD166" s="193"/>
      <c r="BE166" s="193"/>
    </row>
    <row r="167" spans="1:57" x14ac:dyDescent="0.2">
      <c r="A167" s="279"/>
      <c r="B167" s="279"/>
      <c r="C167" s="275"/>
      <c r="D167" s="275"/>
      <c r="E167" s="193"/>
      <c r="F167" s="193"/>
      <c r="G167" s="193"/>
      <c r="H167" s="193"/>
      <c r="I167" s="193"/>
      <c r="J167" s="193"/>
      <c r="K167" s="193"/>
      <c r="L167" s="193"/>
      <c r="M167" s="193"/>
      <c r="N167" s="193"/>
      <c r="O167" s="193"/>
      <c r="P167" s="193"/>
      <c r="Q167" s="193"/>
      <c r="R167" s="193"/>
      <c r="S167" s="193"/>
      <c r="T167" s="193"/>
      <c r="U167" s="193"/>
      <c r="V167" s="193"/>
      <c r="W167" s="193"/>
      <c r="X167" s="193"/>
      <c r="Y167" s="193"/>
      <c r="Z167" s="193"/>
      <c r="AA167" s="193"/>
      <c r="AB167" s="193"/>
      <c r="AC167" s="193"/>
      <c r="AD167" s="193"/>
      <c r="AE167" s="193"/>
      <c r="AF167" s="193"/>
      <c r="AG167" s="193"/>
      <c r="AH167" s="193"/>
      <c r="AI167" s="193"/>
      <c r="AJ167" s="193"/>
      <c r="AK167" s="193"/>
      <c r="AL167" s="193"/>
      <c r="AM167" s="193"/>
      <c r="AN167" s="193"/>
      <c r="AO167" s="193"/>
      <c r="AP167" s="193"/>
      <c r="AQ167" s="193"/>
      <c r="AR167" s="193"/>
      <c r="AS167" s="193"/>
      <c r="AT167" s="193"/>
      <c r="AU167" s="193"/>
      <c r="AV167" s="193"/>
      <c r="AW167" s="193"/>
      <c r="AX167" s="193"/>
      <c r="AY167" s="193"/>
      <c r="AZ167" s="193"/>
      <c r="BA167" s="193"/>
      <c r="BB167" s="193"/>
      <c r="BC167" s="193"/>
      <c r="BD167" s="193"/>
      <c r="BE167" s="193"/>
    </row>
    <row r="168" spans="1:57" x14ac:dyDescent="0.2">
      <c r="A168" s="279"/>
      <c r="B168" s="279"/>
      <c r="C168" s="275"/>
      <c r="D168" s="275"/>
      <c r="E168" s="193"/>
      <c r="F168" s="193"/>
      <c r="G168" s="193"/>
      <c r="H168" s="193"/>
      <c r="I168" s="193"/>
      <c r="J168" s="193"/>
      <c r="K168" s="193"/>
      <c r="L168" s="193"/>
      <c r="M168" s="193"/>
      <c r="N168" s="193"/>
      <c r="O168" s="193"/>
      <c r="P168" s="193"/>
      <c r="Q168" s="193"/>
      <c r="R168" s="193"/>
      <c r="S168" s="193"/>
      <c r="T168" s="193"/>
      <c r="U168" s="193"/>
      <c r="V168" s="193"/>
      <c r="W168" s="193"/>
      <c r="X168" s="193"/>
      <c r="Y168" s="193"/>
      <c r="Z168" s="193"/>
      <c r="AA168" s="193"/>
      <c r="AB168" s="193"/>
      <c r="AC168" s="193"/>
      <c r="AD168" s="193"/>
      <c r="AE168" s="193"/>
      <c r="AF168" s="193"/>
      <c r="AG168" s="193"/>
      <c r="AH168" s="193"/>
      <c r="AI168" s="193"/>
      <c r="AJ168" s="193"/>
      <c r="AK168" s="193"/>
      <c r="AL168" s="193"/>
      <c r="AM168" s="193"/>
      <c r="AN168" s="193"/>
      <c r="AO168" s="193"/>
      <c r="AP168" s="193"/>
      <c r="AQ168" s="193"/>
      <c r="AR168" s="193"/>
      <c r="AS168" s="193"/>
      <c r="AT168" s="193"/>
      <c r="AU168" s="193"/>
      <c r="AV168" s="193"/>
      <c r="AW168" s="193"/>
      <c r="AX168" s="193"/>
      <c r="AY168" s="193"/>
      <c r="AZ168" s="193"/>
      <c r="BA168" s="193"/>
      <c r="BB168" s="193"/>
      <c r="BC168" s="193"/>
      <c r="BD168" s="193"/>
      <c r="BE168" s="193"/>
    </row>
    <row r="169" spans="1:57" x14ac:dyDescent="0.2">
      <c r="A169" s="279"/>
      <c r="B169" s="279"/>
      <c r="C169" s="275"/>
      <c r="D169" s="275"/>
      <c r="E169" s="193"/>
      <c r="F169" s="193"/>
      <c r="G169" s="193"/>
      <c r="H169" s="193"/>
      <c r="I169" s="193"/>
      <c r="J169" s="193"/>
      <c r="K169" s="193"/>
      <c r="L169" s="193"/>
      <c r="M169" s="193"/>
      <c r="N169" s="193"/>
      <c r="O169" s="193"/>
      <c r="P169" s="193"/>
      <c r="Q169" s="193"/>
      <c r="R169" s="193"/>
      <c r="S169" s="193"/>
      <c r="T169" s="193"/>
      <c r="U169" s="193"/>
      <c r="V169" s="193"/>
      <c r="W169" s="193"/>
      <c r="X169" s="193"/>
      <c r="Y169" s="193"/>
      <c r="Z169" s="193"/>
      <c r="AA169" s="193"/>
      <c r="AB169" s="193"/>
      <c r="AC169" s="193"/>
      <c r="AD169" s="193"/>
      <c r="AE169" s="193"/>
      <c r="AF169" s="193"/>
      <c r="AG169" s="193"/>
      <c r="AH169" s="193"/>
      <c r="AI169" s="193"/>
      <c r="AJ169" s="193"/>
      <c r="AK169" s="193"/>
      <c r="AL169" s="193"/>
      <c r="AM169" s="193"/>
      <c r="AN169" s="193"/>
      <c r="AO169" s="193"/>
      <c r="AP169" s="193"/>
      <c r="AQ169" s="193"/>
      <c r="AR169" s="193"/>
      <c r="AS169" s="193"/>
      <c r="AT169" s="193"/>
      <c r="AU169" s="193"/>
      <c r="AV169" s="193"/>
      <c r="AW169" s="193"/>
      <c r="AX169" s="193"/>
      <c r="AY169" s="193"/>
      <c r="AZ169" s="193"/>
      <c r="BA169" s="193"/>
      <c r="BB169" s="193"/>
      <c r="BC169" s="193"/>
      <c r="BD169" s="193"/>
      <c r="BE169" s="193"/>
    </row>
    <row r="170" spans="1:57" x14ac:dyDescent="0.2">
      <c r="A170" s="279"/>
      <c r="B170" s="279"/>
      <c r="C170" s="275"/>
      <c r="D170" s="275"/>
      <c r="E170" s="193"/>
      <c r="F170" s="193"/>
      <c r="G170" s="193"/>
      <c r="H170" s="193"/>
      <c r="I170" s="193"/>
      <c r="J170" s="193"/>
      <c r="K170" s="193"/>
      <c r="L170" s="193"/>
      <c r="M170" s="193"/>
      <c r="N170" s="193"/>
      <c r="O170" s="193"/>
      <c r="P170" s="193"/>
      <c r="Q170" s="193"/>
      <c r="R170" s="193"/>
      <c r="S170" s="193"/>
      <c r="T170" s="193"/>
      <c r="U170" s="193"/>
      <c r="V170" s="193"/>
      <c r="W170" s="193"/>
      <c r="X170" s="193"/>
      <c r="Y170" s="193"/>
      <c r="Z170" s="193"/>
      <c r="AA170" s="193"/>
      <c r="AB170" s="193"/>
      <c r="AC170" s="193"/>
      <c r="AD170" s="193"/>
      <c r="AE170" s="193"/>
      <c r="AF170" s="193"/>
      <c r="AG170" s="193"/>
      <c r="AH170" s="193"/>
      <c r="AI170" s="193"/>
      <c r="AJ170" s="193"/>
      <c r="AK170" s="193"/>
      <c r="AL170" s="193"/>
      <c r="AM170" s="193"/>
      <c r="AN170" s="193"/>
      <c r="AO170" s="193"/>
      <c r="AP170" s="193"/>
      <c r="AQ170" s="193"/>
      <c r="AR170" s="193"/>
      <c r="AS170" s="193"/>
      <c r="AT170" s="193"/>
      <c r="AU170" s="193"/>
      <c r="AV170" s="193"/>
      <c r="AW170" s="193"/>
      <c r="AX170" s="193"/>
      <c r="AY170" s="193"/>
      <c r="AZ170" s="193"/>
      <c r="BA170" s="193"/>
      <c r="BB170" s="193"/>
      <c r="BC170" s="193"/>
      <c r="BD170" s="193"/>
      <c r="BE170" s="193"/>
    </row>
    <row r="171" spans="1:57" x14ac:dyDescent="0.2">
      <c r="A171" s="279"/>
      <c r="B171" s="279"/>
      <c r="C171" s="275"/>
      <c r="D171" s="275"/>
      <c r="E171" s="193"/>
      <c r="F171" s="193"/>
      <c r="G171" s="193"/>
      <c r="H171" s="193"/>
      <c r="I171" s="193"/>
      <c r="J171" s="193"/>
      <c r="K171" s="193"/>
      <c r="L171" s="193"/>
      <c r="M171" s="193"/>
      <c r="N171" s="193"/>
      <c r="O171" s="193"/>
      <c r="P171" s="193"/>
      <c r="Q171" s="193"/>
      <c r="R171" s="193"/>
      <c r="S171" s="193"/>
      <c r="T171" s="193"/>
      <c r="U171" s="193"/>
      <c r="V171" s="193"/>
      <c r="W171" s="193"/>
      <c r="X171" s="193"/>
      <c r="Y171" s="193"/>
      <c r="Z171" s="193"/>
      <c r="AA171" s="193"/>
      <c r="AB171" s="193"/>
      <c r="AC171" s="193"/>
      <c r="AD171" s="193"/>
      <c r="AE171" s="193"/>
      <c r="AF171" s="193"/>
      <c r="AG171" s="193"/>
      <c r="AH171" s="193"/>
      <c r="AI171" s="193"/>
      <c r="AJ171" s="193"/>
      <c r="AK171" s="193"/>
      <c r="AL171" s="193"/>
      <c r="AM171" s="193"/>
      <c r="AN171" s="193"/>
      <c r="AO171" s="193"/>
      <c r="AP171" s="193"/>
      <c r="AQ171" s="193"/>
      <c r="AR171" s="193"/>
      <c r="AS171" s="193"/>
      <c r="AT171" s="193"/>
      <c r="AU171" s="193"/>
      <c r="AV171" s="193"/>
      <c r="AW171" s="193"/>
      <c r="AX171" s="193"/>
      <c r="AY171" s="193"/>
      <c r="AZ171" s="193"/>
      <c r="BA171" s="193"/>
      <c r="BB171" s="193"/>
      <c r="BC171" s="193"/>
      <c r="BD171" s="193"/>
      <c r="BE171" s="193"/>
    </row>
    <row r="172" spans="1:57" x14ac:dyDescent="0.2">
      <c r="A172" s="279"/>
      <c r="B172" s="279"/>
      <c r="C172" s="275"/>
      <c r="D172" s="275"/>
      <c r="E172" s="193"/>
      <c r="F172" s="193"/>
      <c r="G172" s="193"/>
      <c r="H172" s="193"/>
      <c r="I172" s="193"/>
      <c r="J172" s="193"/>
      <c r="K172" s="193"/>
      <c r="L172" s="193"/>
      <c r="M172" s="193"/>
      <c r="N172" s="193"/>
      <c r="O172" s="193"/>
      <c r="P172" s="193"/>
      <c r="Q172" s="193"/>
      <c r="R172" s="193"/>
      <c r="S172" s="193"/>
      <c r="T172" s="193"/>
      <c r="U172" s="193"/>
      <c r="V172" s="193"/>
      <c r="W172" s="193"/>
      <c r="X172" s="193"/>
      <c r="Y172" s="193"/>
      <c r="Z172" s="193"/>
      <c r="AA172" s="193"/>
      <c r="AB172" s="193"/>
      <c r="AC172" s="193"/>
      <c r="AD172" s="193"/>
      <c r="AE172" s="193"/>
      <c r="AF172" s="193"/>
      <c r="AG172" s="193"/>
      <c r="AH172" s="193"/>
      <c r="AI172" s="193"/>
      <c r="AJ172" s="193"/>
      <c r="AK172" s="193"/>
      <c r="AL172" s="193"/>
      <c r="AM172" s="193"/>
      <c r="AN172" s="193"/>
      <c r="AO172" s="193"/>
      <c r="AP172" s="193"/>
      <c r="AQ172" s="193"/>
      <c r="AR172" s="193"/>
      <c r="AS172" s="193"/>
      <c r="AT172" s="193"/>
      <c r="AU172" s="193"/>
      <c r="AV172" s="193"/>
      <c r="AW172" s="193"/>
      <c r="AX172" s="193"/>
      <c r="AY172" s="193"/>
      <c r="AZ172" s="193"/>
      <c r="BA172" s="193"/>
      <c r="BB172" s="193"/>
      <c r="BC172" s="193"/>
      <c r="BD172" s="193"/>
      <c r="BE172" s="193"/>
    </row>
    <row r="173" spans="1:57" x14ac:dyDescent="0.2">
      <c r="A173" s="279"/>
      <c r="B173" s="279"/>
      <c r="C173" s="275"/>
      <c r="D173" s="275"/>
      <c r="E173" s="193"/>
      <c r="F173" s="193"/>
      <c r="G173" s="193"/>
      <c r="H173" s="193"/>
      <c r="I173" s="193"/>
      <c r="J173" s="193"/>
      <c r="K173" s="193"/>
      <c r="L173" s="193"/>
      <c r="M173" s="193"/>
      <c r="N173" s="193"/>
      <c r="O173" s="193"/>
      <c r="P173" s="193"/>
      <c r="Q173" s="193"/>
      <c r="R173" s="193"/>
      <c r="S173" s="193"/>
      <c r="T173" s="193"/>
      <c r="U173" s="193"/>
      <c r="V173" s="193"/>
      <c r="W173" s="193"/>
      <c r="X173" s="193"/>
      <c r="Y173" s="193"/>
      <c r="Z173" s="193"/>
      <c r="AA173" s="193"/>
      <c r="AB173" s="193"/>
      <c r="AC173" s="193"/>
      <c r="AD173" s="193"/>
      <c r="AE173" s="193"/>
      <c r="AF173" s="193"/>
      <c r="AG173" s="193"/>
      <c r="AH173" s="193"/>
      <c r="AI173" s="193"/>
      <c r="AJ173" s="193"/>
      <c r="AK173" s="193"/>
      <c r="AL173" s="193"/>
      <c r="AM173" s="193"/>
      <c r="AN173" s="193"/>
      <c r="AO173" s="193"/>
      <c r="AP173" s="193"/>
      <c r="AQ173" s="193"/>
      <c r="AR173" s="193"/>
      <c r="AS173" s="193"/>
      <c r="AT173" s="193"/>
      <c r="AU173" s="193"/>
      <c r="AV173" s="193"/>
      <c r="AW173" s="193"/>
      <c r="AX173" s="193"/>
      <c r="AY173" s="193"/>
      <c r="AZ173" s="193"/>
      <c r="BA173" s="193"/>
      <c r="BB173" s="193"/>
      <c r="BC173" s="193"/>
      <c r="BD173" s="193"/>
      <c r="BE173" s="193"/>
    </row>
    <row r="174" spans="1:57" x14ac:dyDescent="0.2">
      <c r="A174" s="279"/>
      <c r="B174" s="279"/>
      <c r="C174" s="275"/>
      <c r="D174" s="275"/>
      <c r="E174" s="193"/>
      <c r="F174" s="193"/>
      <c r="G174" s="193"/>
      <c r="H174" s="193"/>
      <c r="I174" s="193"/>
      <c r="J174" s="193"/>
      <c r="K174" s="193"/>
      <c r="L174" s="193"/>
      <c r="M174" s="193"/>
      <c r="N174" s="193"/>
      <c r="O174" s="193"/>
      <c r="P174" s="193"/>
      <c r="Q174" s="193"/>
      <c r="R174" s="193"/>
      <c r="S174" s="193"/>
      <c r="T174" s="193"/>
      <c r="U174" s="193"/>
      <c r="V174" s="193"/>
      <c r="W174" s="193"/>
      <c r="X174" s="193"/>
      <c r="Y174" s="193"/>
      <c r="Z174" s="193"/>
      <c r="AA174" s="193"/>
      <c r="AB174" s="193"/>
      <c r="AC174" s="193"/>
      <c r="AD174" s="193"/>
      <c r="AE174" s="193"/>
      <c r="AF174" s="193"/>
      <c r="AG174" s="193"/>
      <c r="AH174" s="193"/>
      <c r="AI174" s="193"/>
      <c r="AJ174" s="193"/>
      <c r="AK174" s="193"/>
      <c r="AL174" s="193"/>
      <c r="AM174" s="193"/>
      <c r="AN174" s="193"/>
      <c r="AO174" s="193"/>
      <c r="AP174" s="193"/>
      <c r="AQ174" s="193"/>
      <c r="AR174" s="193"/>
      <c r="AS174" s="193"/>
      <c r="AT174" s="193"/>
      <c r="AU174" s="193"/>
      <c r="AV174" s="193"/>
      <c r="AW174" s="193"/>
      <c r="AX174" s="193"/>
      <c r="AY174" s="193"/>
      <c r="AZ174" s="193"/>
      <c r="BA174" s="193"/>
      <c r="BB174" s="193"/>
      <c r="BC174" s="193"/>
      <c r="BD174" s="193"/>
      <c r="BE174" s="193"/>
    </row>
    <row r="175" spans="1:57" x14ac:dyDescent="0.2">
      <c r="A175" s="279"/>
      <c r="B175" s="279"/>
      <c r="C175" s="275"/>
      <c r="D175" s="275"/>
      <c r="E175" s="193"/>
      <c r="F175" s="193"/>
      <c r="G175" s="193"/>
      <c r="H175" s="193"/>
      <c r="I175" s="193"/>
      <c r="J175" s="193"/>
      <c r="K175" s="193"/>
      <c r="L175" s="193"/>
      <c r="M175" s="193"/>
      <c r="N175" s="193"/>
      <c r="O175" s="193"/>
      <c r="P175" s="193"/>
      <c r="Q175" s="193"/>
      <c r="R175" s="193"/>
      <c r="S175" s="193"/>
      <c r="T175" s="193"/>
      <c r="U175" s="193"/>
      <c r="V175" s="193"/>
      <c r="W175" s="193"/>
      <c r="X175" s="193"/>
      <c r="Y175" s="193"/>
      <c r="Z175" s="193"/>
      <c r="AA175" s="193"/>
      <c r="AB175" s="193"/>
      <c r="AC175" s="193"/>
      <c r="AD175" s="193"/>
      <c r="AE175" s="193"/>
      <c r="AF175" s="193"/>
      <c r="AG175" s="193"/>
      <c r="AH175" s="193"/>
      <c r="AI175" s="193"/>
      <c r="AJ175" s="193"/>
      <c r="AK175" s="193"/>
      <c r="AL175" s="193"/>
      <c r="AM175" s="193"/>
      <c r="AN175" s="193"/>
      <c r="AO175" s="193"/>
      <c r="AP175" s="193"/>
      <c r="AQ175" s="193"/>
      <c r="AR175" s="193"/>
      <c r="AS175" s="193"/>
      <c r="AT175" s="193"/>
      <c r="AU175" s="193"/>
      <c r="AV175" s="193"/>
      <c r="AW175" s="193"/>
      <c r="AX175" s="193"/>
      <c r="AY175" s="193"/>
      <c r="AZ175" s="193"/>
      <c r="BA175" s="193"/>
      <c r="BB175" s="193"/>
      <c r="BC175" s="193"/>
      <c r="BD175" s="193"/>
      <c r="BE175" s="193"/>
    </row>
    <row r="176" spans="1:57" x14ac:dyDescent="0.2">
      <c r="A176" s="279"/>
      <c r="B176" s="279"/>
      <c r="C176" s="275"/>
      <c r="D176" s="275"/>
      <c r="E176" s="193"/>
      <c r="F176" s="193"/>
      <c r="G176" s="193"/>
      <c r="H176" s="193"/>
      <c r="I176" s="193"/>
      <c r="J176" s="193"/>
      <c r="K176" s="193"/>
      <c r="L176" s="193"/>
      <c r="M176" s="193"/>
      <c r="N176" s="193"/>
      <c r="O176" s="193"/>
      <c r="P176" s="193"/>
      <c r="Q176" s="193"/>
      <c r="R176" s="193"/>
      <c r="S176" s="193"/>
      <c r="T176" s="193"/>
      <c r="U176" s="193"/>
      <c r="V176" s="193"/>
      <c r="W176" s="193"/>
      <c r="X176" s="193"/>
      <c r="Y176" s="193"/>
      <c r="Z176" s="193"/>
      <c r="AA176" s="193"/>
      <c r="AB176" s="193"/>
      <c r="AC176" s="193"/>
      <c r="AD176" s="193"/>
      <c r="AE176" s="193"/>
      <c r="AF176" s="193"/>
      <c r="AG176" s="193"/>
      <c r="AH176" s="193"/>
      <c r="AI176" s="193"/>
      <c r="AJ176" s="193"/>
      <c r="AK176" s="193"/>
      <c r="AL176" s="193"/>
      <c r="AM176" s="193"/>
      <c r="AN176" s="193"/>
      <c r="AO176" s="193"/>
      <c r="AP176" s="193"/>
      <c r="AQ176" s="193"/>
      <c r="AR176" s="193"/>
      <c r="AS176" s="193"/>
      <c r="AT176" s="193"/>
      <c r="AU176" s="193"/>
      <c r="AV176" s="193"/>
      <c r="AW176" s="193"/>
      <c r="AX176" s="193"/>
      <c r="AY176" s="193"/>
      <c r="AZ176" s="193"/>
      <c r="BA176" s="193"/>
      <c r="BB176" s="193"/>
      <c r="BC176" s="193"/>
      <c r="BD176" s="193"/>
      <c r="BE176" s="193"/>
    </row>
    <row r="177" spans="1:57" x14ac:dyDescent="0.2">
      <c r="A177" s="279"/>
      <c r="B177" s="279"/>
      <c r="C177" s="275"/>
      <c r="D177" s="275"/>
      <c r="E177" s="193"/>
      <c r="F177" s="193"/>
      <c r="G177" s="193"/>
      <c r="H177" s="193"/>
      <c r="I177" s="193"/>
      <c r="J177" s="193"/>
      <c r="K177" s="193"/>
      <c r="L177" s="193"/>
      <c r="M177" s="193"/>
      <c r="N177" s="193"/>
      <c r="O177" s="193"/>
      <c r="P177" s="193"/>
      <c r="Q177" s="193"/>
      <c r="R177" s="193"/>
      <c r="S177" s="193"/>
      <c r="T177" s="193"/>
      <c r="U177" s="193"/>
      <c r="V177" s="193"/>
      <c r="W177" s="193"/>
      <c r="X177" s="193"/>
      <c r="Y177" s="193"/>
      <c r="Z177" s="193"/>
      <c r="AA177" s="193"/>
      <c r="AB177" s="193"/>
      <c r="AC177" s="193"/>
      <c r="AD177" s="193"/>
      <c r="AE177" s="193"/>
      <c r="AF177" s="193"/>
      <c r="AG177" s="193"/>
      <c r="AH177" s="193"/>
      <c r="AI177" s="193"/>
      <c r="AJ177" s="193"/>
      <c r="AK177" s="193"/>
      <c r="AL177" s="193"/>
      <c r="AM177" s="193"/>
      <c r="AN177" s="193"/>
      <c r="AO177" s="193"/>
      <c r="AP177" s="193"/>
      <c r="AQ177" s="193"/>
      <c r="AR177" s="193"/>
      <c r="AS177" s="193"/>
      <c r="AT177" s="193"/>
      <c r="AU177" s="193"/>
      <c r="AV177" s="193"/>
      <c r="AW177" s="193"/>
      <c r="AX177" s="193"/>
      <c r="AY177" s="193"/>
      <c r="AZ177" s="193"/>
      <c r="BA177" s="193"/>
      <c r="BB177" s="193"/>
      <c r="BC177" s="193"/>
      <c r="BD177" s="193"/>
      <c r="BE177" s="193"/>
    </row>
    <row r="178" spans="1:57" x14ac:dyDescent="0.2">
      <c r="A178" s="279"/>
      <c r="B178" s="279"/>
      <c r="C178" s="275"/>
      <c r="D178" s="275"/>
      <c r="E178" s="193"/>
      <c r="F178" s="193"/>
      <c r="G178" s="193"/>
      <c r="H178" s="193"/>
      <c r="I178" s="193"/>
      <c r="J178" s="193"/>
      <c r="K178" s="193"/>
      <c r="L178" s="193"/>
      <c r="M178" s="193"/>
      <c r="N178" s="193"/>
      <c r="O178" s="193"/>
      <c r="P178" s="193"/>
      <c r="Q178" s="193"/>
      <c r="R178" s="193"/>
      <c r="S178" s="193"/>
      <c r="T178" s="193"/>
      <c r="U178" s="193"/>
      <c r="V178" s="193"/>
      <c r="W178" s="193"/>
      <c r="X178" s="193"/>
      <c r="Y178" s="193"/>
      <c r="Z178" s="193"/>
      <c r="AA178" s="193"/>
      <c r="AB178" s="193"/>
      <c r="AC178" s="193"/>
      <c r="AD178" s="193"/>
      <c r="AE178" s="193"/>
      <c r="AF178" s="193"/>
      <c r="AG178" s="193"/>
      <c r="AH178" s="193"/>
      <c r="AI178" s="193"/>
      <c r="AJ178" s="193"/>
      <c r="AK178" s="193"/>
      <c r="AL178" s="193"/>
      <c r="AM178" s="193"/>
      <c r="AN178" s="193"/>
      <c r="AO178" s="193"/>
      <c r="AP178" s="193"/>
      <c r="AQ178" s="193"/>
      <c r="AR178" s="193"/>
      <c r="AS178" s="193"/>
      <c r="AT178" s="193"/>
      <c r="AU178" s="193"/>
      <c r="AV178" s="193"/>
      <c r="AW178" s="193"/>
      <c r="AX178" s="193"/>
      <c r="AY178" s="193"/>
      <c r="AZ178" s="193"/>
      <c r="BA178" s="193"/>
      <c r="BB178" s="193"/>
      <c r="BC178" s="193"/>
      <c r="BD178" s="193"/>
      <c r="BE178" s="193"/>
    </row>
    <row r="179" spans="1:57" x14ac:dyDescent="0.2">
      <c r="A179" s="279"/>
      <c r="B179" s="279"/>
      <c r="C179" s="275"/>
      <c r="D179" s="275"/>
      <c r="E179" s="193"/>
      <c r="F179" s="193"/>
      <c r="G179" s="193"/>
      <c r="H179" s="193"/>
      <c r="I179" s="193"/>
      <c r="J179" s="193"/>
      <c r="K179" s="193"/>
      <c r="L179" s="193"/>
      <c r="M179" s="193"/>
      <c r="N179" s="193"/>
      <c r="O179" s="193"/>
      <c r="P179" s="193"/>
      <c r="Q179" s="193"/>
      <c r="R179" s="193"/>
      <c r="S179" s="193"/>
      <c r="T179" s="193"/>
      <c r="U179" s="193"/>
      <c r="V179" s="193"/>
      <c r="W179" s="193"/>
      <c r="X179" s="193"/>
      <c r="Y179" s="193"/>
      <c r="Z179" s="193"/>
      <c r="AA179" s="193"/>
      <c r="AB179" s="193"/>
      <c r="AC179" s="193"/>
      <c r="AD179" s="193"/>
      <c r="AE179" s="193"/>
      <c r="AF179" s="193"/>
      <c r="AG179" s="193"/>
      <c r="AH179" s="193"/>
      <c r="AI179" s="193"/>
      <c r="AJ179" s="193"/>
      <c r="AK179" s="193"/>
      <c r="AL179" s="193"/>
      <c r="AM179" s="193"/>
      <c r="AN179" s="193"/>
      <c r="AO179" s="193"/>
      <c r="AP179" s="193"/>
      <c r="AQ179" s="193"/>
      <c r="AR179" s="193"/>
      <c r="AS179" s="193"/>
      <c r="AT179" s="193"/>
      <c r="AU179" s="193"/>
      <c r="AV179" s="193"/>
      <c r="AW179" s="193"/>
      <c r="AX179" s="193"/>
      <c r="AY179" s="193"/>
      <c r="AZ179" s="193"/>
      <c r="BA179" s="193"/>
      <c r="BB179" s="193"/>
      <c r="BC179" s="193"/>
      <c r="BD179" s="193"/>
      <c r="BE179" s="193"/>
    </row>
    <row r="180" spans="1:57" x14ac:dyDescent="0.2">
      <c r="A180" s="279"/>
      <c r="B180" s="279"/>
      <c r="C180" s="275"/>
      <c r="D180" s="275"/>
      <c r="E180" s="193"/>
      <c r="F180" s="193"/>
      <c r="G180" s="193"/>
      <c r="H180" s="193"/>
      <c r="I180" s="193"/>
      <c r="J180" s="193"/>
      <c r="K180" s="193"/>
      <c r="L180" s="193"/>
      <c r="M180" s="193"/>
      <c r="N180" s="193"/>
      <c r="O180" s="193"/>
      <c r="P180" s="193"/>
      <c r="Q180" s="193"/>
      <c r="R180" s="193"/>
      <c r="S180" s="193"/>
      <c r="T180" s="193"/>
      <c r="U180" s="193"/>
      <c r="V180" s="193"/>
      <c r="W180" s="193"/>
      <c r="X180" s="193"/>
      <c r="Y180" s="193"/>
      <c r="Z180" s="193"/>
      <c r="AA180" s="193"/>
      <c r="AB180" s="193"/>
      <c r="AC180" s="193"/>
      <c r="AD180" s="193"/>
      <c r="AE180" s="193"/>
      <c r="AF180" s="193"/>
      <c r="AG180" s="193"/>
      <c r="AH180" s="193"/>
      <c r="AI180" s="193"/>
      <c r="AJ180" s="193"/>
      <c r="AK180" s="193"/>
      <c r="AL180" s="193"/>
      <c r="AM180" s="193"/>
      <c r="AN180" s="193"/>
      <c r="AO180" s="193"/>
      <c r="AP180" s="193"/>
      <c r="AQ180" s="193"/>
      <c r="AR180" s="193"/>
      <c r="AS180" s="193"/>
      <c r="AT180" s="193"/>
      <c r="AU180" s="193"/>
      <c r="AV180" s="193"/>
      <c r="AW180" s="193"/>
      <c r="AX180" s="193"/>
      <c r="AY180" s="193"/>
      <c r="AZ180" s="193"/>
      <c r="BA180" s="193"/>
      <c r="BB180" s="193"/>
      <c r="BC180" s="193"/>
      <c r="BD180" s="193"/>
      <c r="BE180" s="193"/>
    </row>
    <row r="181" spans="1:57" x14ac:dyDescent="0.2">
      <c r="A181" s="279"/>
      <c r="B181" s="279"/>
      <c r="C181" s="275"/>
      <c r="D181" s="275"/>
      <c r="E181" s="193"/>
      <c r="F181" s="193"/>
      <c r="G181" s="193"/>
      <c r="H181" s="193"/>
      <c r="I181" s="193"/>
      <c r="J181" s="193"/>
      <c r="K181" s="193"/>
      <c r="L181" s="193"/>
      <c r="M181" s="193"/>
      <c r="N181" s="193"/>
      <c r="O181" s="193"/>
      <c r="P181" s="193"/>
      <c r="Q181" s="193"/>
      <c r="R181" s="193"/>
      <c r="S181" s="193"/>
      <c r="T181" s="193"/>
      <c r="U181" s="193"/>
      <c r="V181" s="193"/>
      <c r="W181" s="193"/>
      <c r="X181" s="193"/>
      <c r="Y181" s="193"/>
      <c r="Z181" s="193"/>
      <c r="AA181" s="193"/>
      <c r="AB181" s="193"/>
      <c r="AC181" s="193"/>
      <c r="AD181" s="193"/>
      <c r="AE181" s="193"/>
      <c r="AF181" s="193"/>
      <c r="AG181" s="193"/>
      <c r="AH181" s="193"/>
      <c r="AI181" s="193"/>
      <c r="AJ181" s="193"/>
      <c r="AK181" s="193"/>
      <c r="AL181" s="193"/>
      <c r="AM181" s="193"/>
      <c r="AN181" s="193"/>
      <c r="AO181" s="193"/>
      <c r="AP181" s="193"/>
      <c r="AQ181" s="193"/>
      <c r="AR181" s="193"/>
      <c r="AS181" s="193"/>
      <c r="AT181" s="193"/>
      <c r="AU181" s="193"/>
      <c r="AV181" s="193"/>
      <c r="AW181" s="193"/>
      <c r="AX181" s="193"/>
      <c r="AY181" s="193"/>
      <c r="AZ181" s="193"/>
      <c r="BA181" s="193"/>
      <c r="BB181" s="193"/>
      <c r="BC181" s="193"/>
      <c r="BD181" s="193"/>
      <c r="BE181" s="193"/>
    </row>
    <row r="182" spans="1:57" x14ac:dyDescent="0.2">
      <c r="A182" s="279"/>
      <c r="B182" s="279"/>
      <c r="C182" s="275"/>
      <c r="D182" s="275"/>
      <c r="E182" s="193"/>
      <c r="F182" s="193"/>
      <c r="G182" s="193"/>
      <c r="H182" s="193"/>
      <c r="I182" s="193"/>
      <c r="J182" s="193"/>
      <c r="K182" s="193"/>
      <c r="L182" s="193"/>
      <c r="M182" s="193"/>
      <c r="N182" s="193"/>
      <c r="O182" s="193"/>
      <c r="P182" s="193"/>
      <c r="Q182" s="193"/>
      <c r="R182" s="193"/>
      <c r="S182" s="193"/>
      <c r="T182" s="193"/>
      <c r="U182" s="193"/>
      <c r="V182" s="193"/>
      <c r="W182" s="193"/>
      <c r="X182" s="193"/>
      <c r="Y182" s="193"/>
      <c r="Z182" s="193"/>
      <c r="AA182" s="193"/>
      <c r="AB182" s="193"/>
      <c r="AC182" s="193"/>
      <c r="AD182" s="193"/>
      <c r="AE182" s="193"/>
      <c r="AF182" s="193"/>
      <c r="AG182" s="193"/>
      <c r="AH182" s="193"/>
      <c r="AI182" s="193"/>
      <c r="AJ182" s="193"/>
      <c r="AK182" s="193"/>
      <c r="AL182" s="193"/>
      <c r="AM182" s="193"/>
      <c r="AN182" s="193"/>
      <c r="AO182" s="193"/>
      <c r="AP182" s="193"/>
      <c r="AQ182" s="193"/>
      <c r="AR182" s="193"/>
      <c r="AS182" s="193"/>
      <c r="AT182" s="193"/>
      <c r="AU182" s="193"/>
      <c r="AV182" s="193"/>
      <c r="AW182" s="193"/>
      <c r="AX182" s="193"/>
      <c r="AY182" s="193"/>
      <c r="AZ182" s="193"/>
      <c r="BA182" s="193"/>
      <c r="BB182" s="193"/>
      <c r="BC182" s="193"/>
      <c r="BD182" s="193"/>
      <c r="BE182" s="193"/>
    </row>
    <row r="183" spans="1:57" x14ac:dyDescent="0.2">
      <c r="A183" s="279"/>
      <c r="B183" s="279"/>
      <c r="C183" s="275"/>
      <c r="D183" s="275"/>
      <c r="E183" s="193"/>
      <c r="F183" s="193"/>
      <c r="G183" s="193"/>
      <c r="H183" s="193"/>
      <c r="I183" s="193"/>
      <c r="J183" s="193"/>
      <c r="K183" s="193"/>
      <c r="L183" s="193"/>
      <c r="M183" s="193"/>
      <c r="N183" s="193"/>
      <c r="O183" s="193"/>
      <c r="P183" s="193"/>
      <c r="Q183" s="193"/>
      <c r="R183" s="193"/>
      <c r="S183" s="193"/>
      <c r="T183" s="193"/>
      <c r="U183" s="193"/>
      <c r="V183" s="193"/>
      <c r="W183" s="193"/>
      <c r="X183" s="193"/>
      <c r="Y183" s="193"/>
      <c r="Z183" s="193"/>
      <c r="AA183" s="193"/>
      <c r="AB183" s="193"/>
      <c r="AC183" s="193"/>
      <c r="AD183" s="193"/>
      <c r="AE183" s="193"/>
      <c r="AF183" s="193"/>
      <c r="AG183" s="193"/>
      <c r="AH183" s="193"/>
      <c r="AI183" s="193"/>
      <c r="AJ183" s="193"/>
      <c r="AK183" s="193"/>
      <c r="AL183" s="193"/>
      <c r="AM183" s="193"/>
      <c r="AN183" s="193"/>
      <c r="AO183" s="193"/>
      <c r="AP183" s="193"/>
      <c r="AQ183" s="193"/>
      <c r="AR183" s="193"/>
      <c r="AS183" s="193"/>
      <c r="AT183" s="193"/>
      <c r="AU183" s="193"/>
      <c r="AV183" s="193"/>
      <c r="AW183" s="193"/>
      <c r="AX183" s="193"/>
      <c r="AY183" s="193"/>
      <c r="AZ183" s="193"/>
      <c r="BA183" s="193"/>
      <c r="BB183" s="193"/>
      <c r="BC183" s="193"/>
      <c r="BD183" s="193"/>
      <c r="BE183" s="193"/>
    </row>
    <row r="184" spans="1:57" x14ac:dyDescent="0.2">
      <c r="A184" s="279"/>
      <c r="B184" s="279"/>
      <c r="C184" s="275"/>
      <c r="D184" s="275"/>
      <c r="E184" s="193"/>
      <c r="F184" s="193"/>
      <c r="G184" s="193"/>
      <c r="H184" s="193"/>
      <c r="I184" s="193"/>
      <c r="J184" s="193"/>
      <c r="K184" s="193"/>
      <c r="L184" s="193"/>
      <c r="M184" s="193"/>
      <c r="N184" s="193"/>
      <c r="O184" s="193"/>
      <c r="P184" s="193"/>
      <c r="Q184" s="193"/>
      <c r="R184" s="193"/>
      <c r="S184" s="193"/>
      <c r="T184" s="193"/>
      <c r="U184" s="193"/>
      <c r="V184" s="193"/>
      <c r="W184" s="193"/>
      <c r="X184" s="193"/>
      <c r="Y184" s="193"/>
      <c r="Z184" s="193"/>
      <c r="AA184" s="193"/>
      <c r="AB184" s="193"/>
      <c r="AC184" s="193"/>
      <c r="AD184" s="193"/>
      <c r="AE184" s="193"/>
      <c r="AF184" s="193"/>
      <c r="AG184" s="193"/>
      <c r="AH184" s="193"/>
      <c r="AI184" s="193"/>
      <c r="AJ184" s="193"/>
      <c r="AK184" s="193"/>
      <c r="AL184" s="193"/>
      <c r="AM184" s="193"/>
      <c r="AN184" s="193"/>
      <c r="AO184" s="193"/>
      <c r="AP184" s="193"/>
      <c r="AQ184" s="193"/>
      <c r="AR184" s="193"/>
      <c r="AS184" s="193"/>
      <c r="AT184" s="193"/>
      <c r="AU184" s="193"/>
      <c r="AV184" s="193"/>
      <c r="AW184" s="193"/>
      <c r="AX184" s="193"/>
      <c r="AY184" s="193"/>
      <c r="AZ184" s="193"/>
      <c r="BA184" s="193"/>
      <c r="BB184" s="193"/>
      <c r="BC184" s="193"/>
      <c r="BD184" s="193"/>
      <c r="BE184" s="193"/>
    </row>
    <row r="185" spans="1:57" x14ac:dyDescent="0.2">
      <c r="A185" s="279"/>
      <c r="B185" s="279"/>
      <c r="C185" s="275"/>
      <c r="D185" s="275"/>
      <c r="E185" s="193"/>
      <c r="F185" s="193"/>
      <c r="G185" s="193"/>
      <c r="H185" s="193"/>
      <c r="I185" s="193"/>
      <c r="J185" s="193"/>
      <c r="K185" s="193"/>
      <c r="L185" s="193"/>
      <c r="M185" s="193"/>
      <c r="N185" s="193"/>
      <c r="O185" s="193"/>
      <c r="P185" s="193"/>
      <c r="Q185" s="193"/>
      <c r="R185" s="193"/>
      <c r="S185" s="193"/>
      <c r="T185" s="193"/>
      <c r="U185" s="193"/>
      <c r="V185" s="193"/>
      <c r="W185" s="193"/>
      <c r="X185" s="193"/>
      <c r="Y185" s="193"/>
      <c r="Z185" s="193"/>
      <c r="AA185" s="193"/>
      <c r="AB185" s="193"/>
      <c r="AC185" s="193"/>
      <c r="AD185" s="193"/>
      <c r="AE185" s="193"/>
      <c r="AF185" s="193"/>
      <c r="AG185" s="193"/>
      <c r="AH185" s="193"/>
      <c r="AI185" s="193"/>
      <c r="AJ185" s="193"/>
      <c r="AK185" s="193"/>
      <c r="AL185" s="193"/>
      <c r="AM185" s="193"/>
      <c r="AN185" s="193"/>
      <c r="AO185" s="193"/>
      <c r="AP185" s="193"/>
      <c r="AQ185" s="193"/>
      <c r="AR185" s="193"/>
      <c r="AS185" s="193"/>
      <c r="AT185" s="193"/>
      <c r="AU185" s="193"/>
      <c r="AV185" s="193"/>
      <c r="AW185" s="193"/>
      <c r="AX185" s="193"/>
      <c r="AY185" s="193"/>
      <c r="AZ185" s="193"/>
      <c r="BA185" s="193"/>
      <c r="BB185" s="193"/>
      <c r="BC185" s="193"/>
      <c r="BD185" s="193"/>
      <c r="BE185" s="193"/>
    </row>
    <row r="186" spans="1:57" x14ac:dyDescent="0.2">
      <c r="A186" s="279"/>
      <c r="B186" s="279"/>
      <c r="C186" s="275"/>
      <c r="D186" s="275"/>
      <c r="E186" s="193"/>
      <c r="F186" s="193"/>
      <c r="G186" s="193"/>
      <c r="H186" s="193"/>
      <c r="I186" s="193"/>
      <c r="J186" s="193"/>
      <c r="K186" s="193"/>
      <c r="L186" s="193"/>
      <c r="M186" s="193"/>
      <c r="N186" s="193"/>
      <c r="O186" s="193"/>
      <c r="P186" s="193"/>
      <c r="Q186" s="193"/>
      <c r="R186" s="193"/>
      <c r="S186" s="193"/>
      <c r="T186" s="193"/>
      <c r="U186" s="193"/>
      <c r="V186" s="193"/>
      <c r="W186" s="193"/>
      <c r="X186" s="193"/>
      <c r="Y186" s="193"/>
      <c r="Z186" s="193"/>
      <c r="AA186" s="193"/>
      <c r="AB186" s="193"/>
      <c r="AC186" s="193"/>
      <c r="AD186" s="193"/>
      <c r="AE186" s="193"/>
      <c r="AF186" s="193"/>
      <c r="AG186" s="193"/>
      <c r="AH186" s="193"/>
      <c r="AI186" s="193"/>
      <c r="AJ186" s="193"/>
      <c r="AK186" s="193"/>
      <c r="AL186" s="193"/>
      <c r="AM186" s="193"/>
      <c r="AN186" s="193"/>
      <c r="AO186" s="193"/>
      <c r="AP186" s="193"/>
      <c r="AQ186" s="193"/>
      <c r="AR186" s="193"/>
      <c r="AS186" s="193"/>
      <c r="AT186" s="193"/>
      <c r="AU186" s="193"/>
      <c r="AV186" s="193"/>
      <c r="AW186" s="193"/>
      <c r="AX186" s="193"/>
      <c r="AY186" s="193"/>
      <c r="AZ186" s="193"/>
      <c r="BA186" s="193"/>
      <c r="BB186" s="193"/>
      <c r="BC186" s="193"/>
      <c r="BD186" s="193"/>
      <c r="BE186" s="193"/>
    </row>
    <row r="187" spans="1:57" x14ac:dyDescent="0.2">
      <c r="A187" s="279"/>
      <c r="B187" s="279"/>
      <c r="C187" s="275"/>
      <c r="D187" s="275"/>
      <c r="E187" s="193"/>
      <c r="F187" s="193"/>
      <c r="G187" s="193"/>
      <c r="H187" s="193"/>
      <c r="I187" s="193"/>
      <c r="J187" s="193"/>
      <c r="K187" s="193"/>
      <c r="L187" s="193"/>
      <c r="M187" s="193"/>
      <c r="N187" s="193"/>
      <c r="O187" s="193"/>
      <c r="P187" s="193"/>
      <c r="Q187" s="193"/>
      <c r="R187" s="193"/>
      <c r="S187" s="193"/>
      <c r="T187" s="193"/>
      <c r="U187" s="193"/>
      <c r="V187" s="193"/>
      <c r="W187" s="193"/>
      <c r="X187" s="193"/>
      <c r="Y187" s="193"/>
      <c r="Z187" s="193"/>
      <c r="AA187" s="193"/>
      <c r="AB187" s="193"/>
      <c r="AC187" s="193"/>
      <c r="AD187" s="193"/>
      <c r="AE187" s="193"/>
      <c r="AF187" s="193"/>
      <c r="AG187" s="193"/>
      <c r="AH187" s="193"/>
      <c r="AI187" s="193"/>
      <c r="AJ187" s="193"/>
      <c r="AK187" s="193"/>
      <c r="AL187" s="193"/>
      <c r="AM187" s="193"/>
      <c r="AN187" s="193"/>
      <c r="AO187" s="193"/>
      <c r="AP187" s="193"/>
      <c r="AQ187" s="193"/>
      <c r="AR187" s="193"/>
      <c r="AS187" s="193"/>
      <c r="AT187" s="193"/>
      <c r="AU187" s="193"/>
      <c r="AV187" s="193"/>
      <c r="AW187" s="193"/>
      <c r="AX187" s="193"/>
      <c r="AY187" s="193"/>
      <c r="AZ187" s="193"/>
      <c r="BA187" s="193"/>
      <c r="BB187" s="193"/>
      <c r="BC187" s="193"/>
      <c r="BD187" s="193"/>
      <c r="BE187" s="193"/>
    </row>
    <row r="188" spans="1:57" x14ac:dyDescent="0.2">
      <c r="A188" s="279"/>
      <c r="B188" s="279"/>
      <c r="C188" s="275"/>
      <c r="D188" s="275"/>
      <c r="E188" s="193"/>
      <c r="F188" s="193"/>
      <c r="G188" s="193"/>
      <c r="H188" s="193"/>
      <c r="I188" s="193"/>
      <c r="J188" s="193"/>
      <c r="K188" s="193"/>
      <c r="L188" s="193"/>
      <c r="M188" s="193"/>
      <c r="N188" s="193"/>
      <c r="O188" s="193"/>
      <c r="P188" s="193"/>
      <c r="Q188" s="193"/>
      <c r="R188" s="193"/>
      <c r="S188" s="193"/>
      <c r="T188" s="193"/>
      <c r="U188" s="193"/>
      <c r="V188" s="193"/>
      <c r="W188" s="193"/>
      <c r="X188" s="193"/>
      <c r="Y188" s="193"/>
      <c r="Z188" s="193"/>
      <c r="AA188" s="193"/>
      <c r="AB188" s="193"/>
      <c r="AC188" s="193"/>
      <c r="AD188" s="193"/>
      <c r="AE188" s="193"/>
      <c r="AF188" s="193"/>
      <c r="AG188" s="193"/>
      <c r="AH188" s="193"/>
      <c r="AI188" s="193"/>
      <c r="AJ188" s="193"/>
      <c r="AK188" s="193"/>
      <c r="AL188" s="193"/>
      <c r="AM188" s="193"/>
      <c r="AN188" s="193"/>
      <c r="AO188" s="193"/>
      <c r="AP188" s="193"/>
      <c r="AQ188" s="193"/>
      <c r="AR188" s="193"/>
      <c r="AS188" s="193"/>
      <c r="AT188" s="193"/>
      <c r="AU188" s="193"/>
      <c r="AV188" s="193"/>
      <c r="AW188" s="193"/>
      <c r="AX188" s="193"/>
      <c r="AY188" s="193"/>
      <c r="AZ188" s="193"/>
      <c r="BA188" s="193"/>
      <c r="BB188" s="193"/>
      <c r="BC188" s="193"/>
      <c r="BD188" s="193"/>
      <c r="BE188" s="193"/>
    </row>
    <row r="189" spans="1:57" x14ac:dyDescent="0.2">
      <c r="A189" s="279"/>
      <c r="B189" s="279"/>
      <c r="C189" s="275"/>
      <c r="D189" s="275"/>
      <c r="E189" s="193"/>
      <c r="F189" s="193"/>
      <c r="G189" s="193"/>
      <c r="H189" s="193"/>
      <c r="I189" s="193"/>
      <c r="J189" s="193"/>
      <c r="K189" s="193"/>
      <c r="L189" s="193"/>
      <c r="M189" s="193"/>
      <c r="N189" s="193"/>
      <c r="O189" s="193"/>
      <c r="P189" s="193"/>
      <c r="Q189" s="193"/>
      <c r="R189" s="193"/>
      <c r="S189" s="193"/>
      <c r="T189" s="193"/>
      <c r="U189" s="193"/>
      <c r="V189" s="193"/>
      <c r="W189" s="193"/>
      <c r="X189" s="193"/>
      <c r="Y189" s="193"/>
      <c r="Z189" s="193"/>
      <c r="AA189" s="193"/>
      <c r="AB189" s="193"/>
      <c r="AC189" s="193"/>
      <c r="AD189" s="193"/>
      <c r="AE189" s="193"/>
      <c r="AF189" s="193"/>
      <c r="AG189" s="193"/>
      <c r="AH189" s="193"/>
      <c r="AI189" s="193"/>
      <c r="AJ189" s="193"/>
      <c r="AK189" s="193"/>
      <c r="AL189" s="193"/>
      <c r="AM189" s="193"/>
      <c r="AN189" s="193"/>
      <c r="AO189" s="193"/>
      <c r="AP189" s="193"/>
      <c r="AQ189" s="193"/>
      <c r="AR189" s="193"/>
      <c r="AS189" s="193"/>
      <c r="AT189" s="193"/>
      <c r="AU189" s="193"/>
      <c r="AV189" s="193"/>
      <c r="AW189" s="193"/>
      <c r="AX189" s="193"/>
      <c r="AY189" s="193"/>
      <c r="AZ189" s="193"/>
      <c r="BA189" s="193"/>
      <c r="BB189" s="193"/>
      <c r="BC189" s="193"/>
      <c r="BD189" s="193"/>
      <c r="BE189" s="193"/>
    </row>
    <row r="190" spans="1:57" x14ac:dyDescent="0.2">
      <c r="A190" s="279"/>
      <c r="B190" s="279"/>
      <c r="C190" s="275"/>
      <c r="D190" s="275"/>
      <c r="E190" s="193"/>
      <c r="F190" s="193"/>
      <c r="G190" s="193"/>
      <c r="H190" s="193"/>
      <c r="I190" s="193"/>
      <c r="J190" s="193"/>
      <c r="K190" s="193"/>
      <c r="L190" s="193"/>
      <c r="M190" s="193"/>
      <c r="N190" s="193"/>
      <c r="O190" s="193"/>
      <c r="P190" s="193"/>
      <c r="Q190" s="193"/>
      <c r="R190" s="193"/>
      <c r="S190" s="193"/>
      <c r="T190" s="193"/>
      <c r="U190" s="193"/>
      <c r="V190" s="193"/>
      <c r="W190" s="193"/>
      <c r="X190" s="193"/>
      <c r="Y190" s="193"/>
      <c r="Z190" s="193"/>
      <c r="AA190" s="193"/>
      <c r="AB190" s="193"/>
      <c r="AC190" s="193"/>
      <c r="AD190" s="193"/>
      <c r="AE190" s="193"/>
      <c r="AF190" s="193"/>
      <c r="AG190" s="193"/>
      <c r="AH190" s="193"/>
      <c r="AI190" s="193"/>
      <c r="AJ190" s="193"/>
      <c r="AK190" s="193"/>
      <c r="AL190" s="193"/>
      <c r="AM190" s="193"/>
      <c r="AN190" s="193"/>
      <c r="AO190" s="193"/>
      <c r="AP190" s="193"/>
      <c r="AQ190" s="193"/>
      <c r="AR190" s="193"/>
      <c r="AS190" s="193"/>
      <c r="AT190" s="193"/>
      <c r="AU190" s="193"/>
      <c r="AV190" s="193"/>
      <c r="AW190" s="193"/>
      <c r="AX190" s="193"/>
      <c r="AY190" s="193"/>
      <c r="AZ190" s="193"/>
      <c r="BA190" s="193"/>
      <c r="BB190" s="193"/>
      <c r="BC190" s="193"/>
      <c r="BD190" s="193"/>
      <c r="BE190" s="193"/>
    </row>
    <row r="191" spans="1:57" x14ac:dyDescent="0.2">
      <c r="A191" s="279"/>
      <c r="B191" s="279"/>
      <c r="C191" s="275"/>
      <c r="D191" s="275"/>
      <c r="E191" s="193"/>
      <c r="F191" s="193"/>
      <c r="G191" s="193"/>
      <c r="H191" s="193"/>
      <c r="I191" s="193"/>
      <c r="J191" s="193"/>
      <c r="K191" s="193"/>
      <c r="L191" s="193"/>
      <c r="M191" s="193"/>
      <c r="N191" s="193"/>
      <c r="O191" s="193"/>
      <c r="P191" s="193"/>
      <c r="Q191" s="193"/>
      <c r="R191" s="193"/>
      <c r="S191" s="193"/>
      <c r="T191" s="193"/>
      <c r="U191" s="193"/>
      <c r="V191" s="193"/>
      <c r="W191" s="193"/>
      <c r="X191" s="193"/>
      <c r="Y191" s="193"/>
      <c r="Z191" s="193"/>
      <c r="AA191" s="193"/>
      <c r="AB191" s="193"/>
      <c r="AC191" s="193"/>
      <c r="AD191" s="193"/>
      <c r="AE191" s="193"/>
      <c r="AF191" s="193"/>
      <c r="AG191" s="193"/>
      <c r="AH191" s="193"/>
      <c r="AI191" s="193"/>
      <c r="AJ191" s="193"/>
      <c r="AK191" s="193"/>
      <c r="AL191" s="193"/>
      <c r="AM191" s="193"/>
      <c r="AN191" s="193"/>
      <c r="AO191" s="193"/>
      <c r="AP191" s="193"/>
      <c r="AQ191" s="193"/>
      <c r="AR191" s="193"/>
      <c r="AS191" s="193"/>
      <c r="AT191" s="193"/>
      <c r="AU191" s="193"/>
      <c r="AV191" s="193"/>
      <c r="AW191" s="193"/>
      <c r="AX191" s="193"/>
      <c r="AY191" s="193"/>
      <c r="AZ191" s="193"/>
      <c r="BA191" s="193"/>
      <c r="BB191" s="193"/>
      <c r="BC191" s="193"/>
      <c r="BD191" s="193"/>
      <c r="BE191" s="193"/>
    </row>
    <row r="192" spans="1:57" x14ac:dyDescent="0.2">
      <c r="A192" s="279"/>
      <c r="B192" s="279"/>
      <c r="C192" s="275"/>
      <c r="D192" s="275"/>
      <c r="E192" s="193"/>
      <c r="F192" s="193"/>
      <c r="G192" s="193"/>
      <c r="H192" s="193"/>
      <c r="I192" s="193"/>
      <c r="J192" s="193"/>
      <c r="K192" s="193"/>
      <c r="L192" s="193"/>
      <c r="M192" s="193"/>
      <c r="N192" s="193"/>
      <c r="O192" s="193"/>
      <c r="P192" s="193"/>
      <c r="Q192" s="193"/>
      <c r="R192" s="193"/>
      <c r="S192" s="193"/>
      <c r="T192" s="193"/>
      <c r="U192" s="193"/>
      <c r="V192" s="193"/>
      <c r="W192" s="193"/>
      <c r="X192" s="193"/>
      <c r="Y192" s="193"/>
      <c r="Z192" s="193"/>
      <c r="AA192" s="193"/>
      <c r="AB192" s="193"/>
      <c r="AC192" s="193"/>
      <c r="AD192" s="193"/>
      <c r="AE192" s="193"/>
      <c r="AF192" s="193"/>
      <c r="AG192" s="193"/>
      <c r="AH192" s="193"/>
      <c r="AI192" s="193"/>
      <c r="AJ192" s="193"/>
      <c r="AK192" s="193"/>
      <c r="AL192" s="193"/>
      <c r="AM192" s="193"/>
      <c r="AN192" s="193"/>
      <c r="AO192" s="193"/>
      <c r="AP192" s="193"/>
      <c r="AQ192" s="193"/>
      <c r="AR192" s="193"/>
      <c r="AS192" s="193"/>
      <c r="AT192" s="193"/>
      <c r="AU192" s="193"/>
      <c r="AV192" s="193"/>
      <c r="AW192" s="193"/>
      <c r="AX192" s="193"/>
      <c r="AY192" s="193"/>
      <c r="AZ192" s="193"/>
      <c r="BA192" s="193"/>
      <c r="BB192" s="193"/>
      <c r="BC192" s="193"/>
      <c r="BD192" s="193"/>
      <c r="BE192" s="193"/>
    </row>
    <row r="193" spans="1:57" x14ac:dyDescent="0.2">
      <c r="A193" s="279"/>
      <c r="B193" s="279"/>
      <c r="C193" s="275"/>
      <c r="D193" s="275"/>
      <c r="E193" s="193"/>
      <c r="F193" s="193"/>
      <c r="G193" s="193"/>
      <c r="H193" s="193"/>
      <c r="I193" s="193"/>
      <c r="J193" s="193"/>
      <c r="K193" s="193"/>
      <c r="L193" s="193"/>
      <c r="M193" s="193"/>
      <c r="N193" s="193"/>
      <c r="O193" s="193"/>
      <c r="P193" s="193"/>
      <c r="Q193" s="193"/>
      <c r="R193" s="193"/>
      <c r="S193" s="193"/>
      <c r="T193" s="193"/>
      <c r="U193" s="193"/>
      <c r="V193" s="193"/>
      <c r="W193" s="193"/>
      <c r="X193" s="193"/>
      <c r="Y193" s="193"/>
      <c r="Z193" s="193"/>
      <c r="AA193" s="193"/>
      <c r="AB193" s="193"/>
      <c r="AC193" s="193"/>
      <c r="AD193" s="193"/>
      <c r="AE193" s="193"/>
      <c r="AF193" s="193"/>
      <c r="AG193" s="193"/>
      <c r="AH193" s="193"/>
      <c r="AI193" s="193"/>
      <c r="AJ193" s="193"/>
      <c r="AK193" s="193"/>
      <c r="AL193" s="193"/>
      <c r="AM193" s="193"/>
      <c r="AN193" s="193"/>
      <c r="AO193" s="193"/>
      <c r="AP193" s="193"/>
      <c r="AQ193" s="193"/>
      <c r="AR193" s="193"/>
      <c r="AS193" s="193"/>
      <c r="AT193" s="193"/>
      <c r="AU193" s="193"/>
      <c r="AV193" s="193"/>
      <c r="AW193" s="193"/>
      <c r="AX193" s="193"/>
      <c r="AY193" s="193"/>
      <c r="AZ193" s="193"/>
      <c r="BA193" s="193"/>
      <c r="BB193" s="193"/>
      <c r="BC193" s="193"/>
      <c r="BD193" s="193"/>
      <c r="BE193" s="193"/>
    </row>
    <row r="194" spans="1:57" x14ac:dyDescent="0.2">
      <c r="A194" s="279"/>
      <c r="B194" s="279"/>
      <c r="C194" s="275"/>
      <c r="D194" s="275"/>
      <c r="E194" s="193"/>
      <c r="F194" s="193"/>
      <c r="G194" s="193"/>
      <c r="H194" s="193"/>
      <c r="I194" s="193"/>
      <c r="J194" s="193"/>
      <c r="K194" s="193"/>
      <c r="L194" s="193"/>
      <c r="M194" s="193"/>
      <c r="N194" s="193"/>
      <c r="O194" s="193"/>
      <c r="P194" s="193"/>
      <c r="Q194" s="193"/>
      <c r="R194" s="193"/>
      <c r="S194" s="193"/>
      <c r="T194" s="193"/>
      <c r="U194" s="193"/>
      <c r="V194" s="193"/>
      <c r="W194" s="193"/>
      <c r="X194" s="193"/>
      <c r="Y194" s="193"/>
      <c r="Z194" s="193"/>
      <c r="AA194" s="193"/>
      <c r="AB194" s="193"/>
      <c r="AC194" s="193"/>
      <c r="AD194" s="193"/>
      <c r="AE194" s="193"/>
      <c r="AF194" s="193"/>
      <c r="AG194" s="193"/>
      <c r="AH194" s="193"/>
      <c r="AI194" s="193"/>
      <c r="AJ194" s="193"/>
      <c r="AK194" s="193"/>
      <c r="AL194" s="193"/>
      <c r="AM194" s="193"/>
      <c r="AN194" s="193"/>
      <c r="AO194" s="193"/>
      <c r="AP194" s="193"/>
      <c r="AQ194" s="193"/>
      <c r="AR194" s="193"/>
      <c r="AS194" s="193"/>
      <c r="AT194" s="193"/>
      <c r="AU194" s="193"/>
      <c r="AV194" s="193"/>
      <c r="AW194" s="193"/>
      <c r="AX194" s="193"/>
      <c r="AY194" s="193"/>
      <c r="AZ194" s="193"/>
      <c r="BA194" s="193"/>
      <c r="BB194" s="193"/>
      <c r="BC194" s="193"/>
      <c r="BD194" s="193"/>
      <c r="BE194" s="193"/>
    </row>
    <row r="195" spans="1:57" x14ac:dyDescent="0.2">
      <c r="A195" s="279"/>
      <c r="B195" s="279"/>
      <c r="C195" s="275"/>
      <c r="D195" s="275"/>
      <c r="E195" s="193"/>
      <c r="F195" s="193"/>
      <c r="G195" s="193"/>
      <c r="H195" s="193"/>
      <c r="I195" s="193"/>
      <c r="J195" s="193"/>
      <c r="K195" s="193"/>
      <c r="L195" s="193"/>
      <c r="M195" s="193"/>
      <c r="N195" s="193"/>
      <c r="O195" s="193"/>
      <c r="P195" s="193"/>
      <c r="Q195" s="193"/>
      <c r="R195" s="193"/>
      <c r="S195" s="193"/>
      <c r="T195" s="193"/>
      <c r="U195" s="193"/>
      <c r="V195" s="193"/>
      <c r="W195" s="193"/>
      <c r="X195" s="193"/>
      <c r="Y195" s="193"/>
      <c r="Z195" s="193"/>
      <c r="AA195" s="193"/>
      <c r="AB195" s="193"/>
      <c r="AC195" s="193"/>
      <c r="AD195" s="193"/>
      <c r="AE195" s="193"/>
      <c r="AF195" s="193"/>
      <c r="AG195" s="193"/>
      <c r="AH195" s="193"/>
      <c r="AI195" s="193"/>
      <c r="AJ195" s="193"/>
      <c r="AK195" s="193"/>
      <c r="AL195" s="193"/>
      <c r="AM195" s="193"/>
      <c r="AN195" s="193"/>
      <c r="AO195" s="193"/>
      <c r="AP195" s="193"/>
      <c r="AQ195" s="193"/>
      <c r="AR195" s="193"/>
      <c r="AS195" s="193"/>
      <c r="AT195" s="193"/>
      <c r="AU195" s="193"/>
      <c r="AV195" s="193"/>
      <c r="AW195" s="193"/>
      <c r="AX195" s="193"/>
      <c r="AY195" s="193"/>
      <c r="AZ195" s="193"/>
      <c r="BA195" s="193"/>
      <c r="BB195" s="193"/>
      <c r="BC195" s="193"/>
      <c r="BD195" s="193"/>
      <c r="BE195" s="193"/>
    </row>
    <row r="196" spans="1:57" x14ac:dyDescent="0.2">
      <c r="A196" s="279"/>
      <c r="B196" s="279"/>
      <c r="C196" s="275"/>
      <c r="D196" s="275"/>
      <c r="E196" s="193"/>
      <c r="F196" s="193"/>
      <c r="G196" s="193"/>
      <c r="H196" s="193"/>
      <c r="I196" s="193"/>
      <c r="J196" s="193"/>
      <c r="K196" s="193"/>
      <c r="L196" s="193"/>
      <c r="M196" s="193"/>
      <c r="N196" s="193"/>
      <c r="O196" s="193"/>
      <c r="P196" s="193"/>
      <c r="Q196" s="193"/>
      <c r="R196" s="193"/>
      <c r="S196" s="193"/>
      <c r="T196" s="193"/>
      <c r="U196" s="193"/>
      <c r="V196" s="193"/>
      <c r="W196" s="193"/>
      <c r="X196" s="193"/>
      <c r="Y196" s="193"/>
      <c r="Z196" s="193"/>
      <c r="AA196" s="193"/>
      <c r="AB196" s="193"/>
      <c r="AC196" s="193"/>
      <c r="AD196" s="193"/>
      <c r="AE196" s="193"/>
      <c r="AF196" s="193"/>
      <c r="AG196" s="193"/>
      <c r="AH196" s="193"/>
      <c r="AI196" s="193"/>
      <c r="AJ196" s="193"/>
      <c r="AK196" s="193"/>
      <c r="AL196" s="193"/>
      <c r="AM196" s="193"/>
      <c r="AN196" s="193"/>
      <c r="AO196" s="193"/>
      <c r="AP196" s="193"/>
      <c r="AQ196" s="193"/>
      <c r="AR196" s="193"/>
      <c r="AS196" s="193"/>
      <c r="AT196" s="193"/>
      <c r="AU196" s="193"/>
      <c r="AV196" s="193"/>
      <c r="AW196" s="193"/>
      <c r="AX196" s="193"/>
      <c r="AY196" s="193"/>
      <c r="AZ196" s="193"/>
      <c r="BA196" s="193"/>
      <c r="BB196" s="193"/>
      <c r="BC196" s="193"/>
      <c r="BD196" s="193"/>
      <c r="BE196" s="193"/>
    </row>
    <row r="197" spans="1:57" x14ac:dyDescent="0.2">
      <c r="A197" s="279"/>
      <c r="B197" s="279"/>
      <c r="C197" s="275"/>
      <c r="D197" s="275"/>
      <c r="E197" s="193"/>
      <c r="F197" s="193"/>
      <c r="G197" s="193"/>
      <c r="H197" s="193"/>
      <c r="I197" s="193"/>
      <c r="J197" s="193"/>
      <c r="K197" s="193"/>
      <c r="L197" s="193"/>
      <c r="M197" s="193"/>
      <c r="N197" s="193"/>
      <c r="O197" s="193"/>
      <c r="P197" s="193"/>
      <c r="Q197" s="193"/>
      <c r="R197" s="193"/>
      <c r="S197" s="193"/>
      <c r="T197" s="193"/>
      <c r="U197" s="193"/>
      <c r="V197" s="193"/>
      <c r="W197" s="193"/>
      <c r="X197" s="193"/>
      <c r="Y197" s="193"/>
      <c r="Z197" s="193"/>
      <c r="AA197" s="193"/>
      <c r="AB197" s="193"/>
      <c r="AC197" s="193"/>
      <c r="AD197" s="193"/>
      <c r="AE197" s="193"/>
      <c r="AF197" s="193"/>
      <c r="AG197" s="193"/>
      <c r="AH197" s="193"/>
      <c r="AI197" s="193"/>
      <c r="AJ197" s="193"/>
      <c r="AK197" s="193"/>
      <c r="AL197" s="193"/>
      <c r="AM197" s="193"/>
      <c r="AN197" s="193"/>
      <c r="AO197" s="193"/>
      <c r="AP197" s="193"/>
      <c r="AQ197" s="193"/>
      <c r="AR197" s="193"/>
      <c r="AS197" s="193"/>
      <c r="AT197" s="193"/>
      <c r="AU197" s="193"/>
      <c r="AV197" s="193"/>
      <c r="AW197" s="193"/>
      <c r="AX197" s="193"/>
      <c r="AY197" s="193"/>
      <c r="AZ197" s="193"/>
      <c r="BA197" s="193"/>
      <c r="BB197" s="193"/>
      <c r="BC197" s="193"/>
      <c r="BD197" s="193"/>
      <c r="BE197" s="193"/>
    </row>
    <row r="198" spans="1:57" x14ac:dyDescent="0.2">
      <c r="A198" s="279"/>
      <c r="B198" s="279"/>
      <c r="C198" s="275"/>
      <c r="D198" s="275"/>
      <c r="E198" s="193"/>
      <c r="F198" s="193"/>
      <c r="G198" s="193"/>
      <c r="H198" s="193"/>
      <c r="I198" s="193"/>
      <c r="J198" s="193"/>
      <c r="K198" s="193"/>
      <c r="L198" s="193"/>
      <c r="M198" s="193"/>
      <c r="N198" s="193"/>
      <c r="O198" s="193"/>
      <c r="P198" s="193"/>
      <c r="Q198" s="193"/>
      <c r="R198" s="193"/>
      <c r="S198" s="193"/>
      <c r="T198" s="193"/>
      <c r="U198" s="193"/>
      <c r="V198" s="193"/>
      <c r="W198" s="193"/>
      <c r="X198" s="193"/>
      <c r="Y198" s="193"/>
      <c r="Z198" s="193"/>
      <c r="AA198" s="193"/>
      <c r="AB198" s="193"/>
      <c r="AC198" s="193"/>
      <c r="AD198" s="193"/>
      <c r="AE198" s="193"/>
      <c r="AF198" s="193"/>
      <c r="AG198" s="193"/>
      <c r="AH198" s="193"/>
      <c r="AI198" s="193"/>
      <c r="AJ198" s="193"/>
      <c r="AK198" s="193"/>
      <c r="AL198" s="193"/>
      <c r="AM198" s="193"/>
      <c r="AN198" s="193"/>
      <c r="AO198" s="193"/>
      <c r="AP198" s="193"/>
      <c r="AQ198" s="193"/>
      <c r="AR198" s="193"/>
      <c r="AS198" s="193"/>
      <c r="AT198" s="193"/>
      <c r="AU198" s="193"/>
      <c r="AV198" s="193"/>
      <c r="AW198" s="193"/>
      <c r="AX198" s="193"/>
      <c r="AY198" s="193"/>
      <c r="AZ198" s="193"/>
      <c r="BA198" s="193"/>
      <c r="BB198" s="193"/>
      <c r="BC198" s="193"/>
      <c r="BD198" s="193"/>
      <c r="BE198" s="193"/>
    </row>
    <row r="199" spans="1:57" x14ac:dyDescent="0.2">
      <c r="A199" s="279"/>
      <c r="B199" s="279"/>
      <c r="C199" s="275"/>
      <c r="D199" s="275"/>
      <c r="E199" s="193"/>
      <c r="F199" s="193"/>
      <c r="G199" s="193"/>
      <c r="H199" s="193"/>
      <c r="I199" s="193"/>
      <c r="J199" s="193"/>
      <c r="K199" s="193"/>
      <c r="L199" s="193"/>
      <c r="M199" s="193"/>
      <c r="N199" s="193"/>
      <c r="O199" s="193"/>
      <c r="P199" s="193"/>
      <c r="Q199" s="193"/>
      <c r="R199" s="193"/>
      <c r="S199" s="193"/>
      <c r="T199" s="193"/>
      <c r="U199" s="193"/>
      <c r="V199" s="193"/>
      <c r="W199" s="193"/>
      <c r="X199" s="193"/>
      <c r="Y199" s="193"/>
      <c r="Z199" s="193"/>
      <c r="AA199" s="193"/>
      <c r="AB199" s="193"/>
      <c r="AC199" s="193"/>
      <c r="AD199" s="193"/>
      <c r="AE199" s="193"/>
      <c r="AF199" s="193"/>
      <c r="AG199" s="193"/>
      <c r="AH199" s="193"/>
      <c r="AI199" s="193"/>
      <c r="AJ199" s="193"/>
      <c r="AK199" s="193"/>
      <c r="AL199" s="193"/>
      <c r="AM199" s="193"/>
      <c r="AN199" s="193"/>
      <c r="AO199" s="193"/>
      <c r="AP199" s="193"/>
      <c r="AQ199" s="193"/>
      <c r="AR199" s="193"/>
      <c r="AS199" s="193"/>
      <c r="AT199" s="193"/>
      <c r="AU199" s="193"/>
      <c r="AV199" s="193"/>
      <c r="AW199" s="193"/>
      <c r="AX199" s="193"/>
      <c r="AY199" s="193"/>
      <c r="AZ199" s="193"/>
      <c r="BA199" s="193"/>
      <c r="BB199" s="193"/>
      <c r="BC199" s="193"/>
      <c r="BD199" s="193"/>
      <c r="BE199" s="193"/>
    </row>
    <row r="200" spans="1:57" x14ac:dyDescent="0.2">
      <c r="A200" s="279"/>
      <c r="B200" s="279"/>
      <c r="C200" s="275"/>
      <c r="D200" s="275"/>
      <c r="E200" s="193"/>
      <c r="F200" s="193"/>
      <c r="G200" s="193"/>
      <c r="H200" s="193"/>
      <c r="I200" s="193"/>
      <c r="J200" s="193"/>
      <c r="K200" s="193"/>
      <c r="L200" s="193"/>
      <c r="M200" s="193"/>
      <c r="N200" s="193"/>
      <c r="O200" s="193"/>
      <c r="P200" s="193"/>
      <c r="Q200" s="193"/>
      <c r="R200" s="193"/>
      <c r="S200" s="193"/>
      <c r="T200" s="193"/>
      <c r="U200" s="193"/>
      <c r="V200" s="193"/>
      <c r="W200" s="193"/>
      <c r="X200" s="193"/>
      <c r="Y200" s="193"/>
      <c r="Z200" s="193"/>
      <c r="AA200" s="193"/>
      <c r="AB200" s="193"/>
      <c r="AC200" s="193"/>
      <c r="AD200" s="193"/>
      <c r="AE200" s="193"/>
      <c r="AF200" s="193"/>
      <c r="AG200" s="193"/>
      <c r="AH200" s="193"/>
      <c r="AI200" s="193"/>
      <c r="AJ200" s="193"/>
      <c r="AK200" s="193"/>
      <c r="AL200" s="193"/>
      <c r="AM200" s="193"/>
      <c r="AN200" s="193"/>
      <c r="AO200" s="193"/>
      <c r="AP200" s="193"/>
      <c r="AQ200" s="193"/>
      <c r="AR200" s="193"/>
      <c r="AS200" s="193"/>
      <c r="AT200" s="193"/>
      <c r="AU200" s="193"/>
      <c r="AV200" s="193"/>
      <c r="AW200" s="193"/>
      <c r="AX200" s="193"/>
      <c r="AY200" s="193"/>
      <c r="AZ200" s="193"/>
      <c r="BA200" s="193"/>
      <c r="BB200" s="193"/>
      <c r="BC200" s="193"/>
      <c r="BD200" s="193"/>
      <c r="BE200" s="193"/>
    </row>
    <row r="201" spans="1:57" x14ac:dyDescent="0.2">
      <c r="A201" s="279"/>
      <c r="B201" s="279"/>
      <c r="C201" s="275"/>
      <c r="D201" s="275"/>
      <c r="E201" s="193"/>
      <c r="F201" s="193"/>
      <c r="G201" s="193"/>
      <c r="H201" s="193"/>
      <c r="I201" s="193"/>
      <c r="J201" s="193"/>
      <c r="K201" s="193"/>
      <c r="L201" s="193"/>
      <c r="M201" s="193"/>
      <c r="N201" s="193"/>
      <c r="O201" s="193"/>
      <c r="P201" s="193"/>
      <c r="Q201" s="193"/>
      <c r="R201" s="193"/>
      <c r="S201" s="193"/>
      <c r="T201" s="193"/>
      <c r="U201" s="193"/>
      <c r="V201" s="193"/>
      <c r="W201" s="193"/>
      <c r="X201" s="193"/>
      <c r="Y201" s="193"/>
      <c r="Z201" s="193"/>
      <c r="AA201" s="193"/>
      <c r="AB201" s="193"/>
      <c r="AC201" s="193"/>
      <c r="AD201" s="193"/>
      <c r="AE201" s="193"/>
      <c r="AF201" s="193"/>
      <c r="AG201" s="193"/>
      <c r="AH201" s="193"/>
      <c r="AI201" s="193"/>
      <c r="AJ201" s="193"/>
      <c r="AK201" s="193"/>
      <c r="AL201" s="193"/>
      <c r="AM201" s="193"/>
      <c r="AN201" s="193"/>
      <c r="AO201" s="193"/>
      <c r="AP201" s="193"/>
      <c r="AQ201" s="193"/>
      <c r="AR201" s="193"/>
      <c r="AS201" s="193"/>
      <c r="AT201" s="193"/>
      <c r="AU201" s="193"/>
      <c r="AV201" s="193"/>
      <c r="AW201" s="193"/>
      <c r="AX201" s="193"/>
      <c r="AY201" s="193"/>
      <c r="AZ201" s="193"/>
      <c r="BA201" s="193"/>
      <c r="BB201" s="193"/>
      <c r="BC201" s="193"/>
      <c r="BD201" s="193"/>
      <c r="BE201" s="193"/>
    </row>
    <row r="202" spans="1:57" x14ac:dyDescent="0.2">
      <c r="A202" s="279"/>
      <c r="B202" s="279"/>
      <c r="C202" s="275"/>
      <c r="D202" s="275"/>
      <c r="E202" s="193"/>
      <c r="F202" s="193"/>
      <c r="G202" s="193"/>
      <c r="H202" s="193"/>
      <c r="I202" s="193"/>
      <c r="J202" s="193"/>
      <c r="K202" s="193"/>
      <c r="L202" s="193"/>
      <c r="M202" s="193"/>
      <c r="N202" s="193"/>
      <c r="O202" s="193"/>
      <c r="P202" s="193"/>
      <c r="Q202" s="193"/>
      <c r="R202" s="193"/>
      <c r="S202" s="193"/>
      <c r="T202" s="193"/>
      <c r="U202" s="193"/>
      <c r="V202" s="193"/>
      <c r="W202" s="193"/>
      <c r="X202" s="193"/>
      <c r="Y202" s="193"/>
      <c r="Z202" s="193"/>
      <c r="AA202" s="193"/>
      <c r="AB202" s="193"/>
      <c r="AC202" s="193"/>
      <c r="AD202" s="193"/>
      <c r="AE202" s="193"/>
      <c r="AF202" s="193"/>
      <c r="AG202" s="193"/>
      <c r="AH202" s="193"/>
      <c r="AI202" s="193"/>
      <c r="AJ202" s="193"/>
      <c r="AK202" s="193"/>
      <c r="AL202" s="193"/>
      <c r="AM202" s="193"/>
      <c r="AN202" s="193"/>
      <c r="AO202" s="193"/>
      <c r="AP202" s="193"/>
      <c r="AQ202" s="193"/>
      <c r="AR202" s="193"/>
      <c r="AS202" s="193"/>
      <c r="AT202" s="193"/>
      <c r="AU202" s="193"/>
      <c r="AV202" s="193"/>
      <c r="AW202" s="193"/>
      <c r="AX202" s="193"/>
      <c r="AY202" s="193"/>
      <c r="AZ202" s="193"/>
      <c r="BA202" s="193"/>
      <c r="BB202" s="193"/>
      <c r="BC202" s="193"/>
      <c r="BD202" s="193"/>
      <c r="BE202" s="193"/>
    </row>
    <row r="203" spans="1:57" x14ac:dyDescent="0.2">
      <c r="A203" s="279"/>
      <c r="B203" s="279"/>
      <c r="C203" s="275"/>
      <c r="D203" s="275"/>
      <c r="E203" s="193"/>
      <c r="F203" s="193"/>
      <c r="G203" s="193"/>
      <c r="H203" s="193"/>
      <c r="I203" s="193"/>
      <c r="J203" s="193"/>
      <c r="K203" s="193"/>
      <c r="L203" s="193"/>
      <c r="M203" s="193"/>
      <c r="N203" s="193"/>
      <c r="O203" s="193"/>
      <c r="P203" s="193"/>
      <c r="Q203" s="193"/>
      <c r="R203" s="193"/>
      <c r="S203" s="193"/>
      <c r="T203" s="193"/>
      <c r="U203" s="193"/>
      <c r="V203" s="193"/>
      <c r="W203" s="193"/>
      <c r="X203" s="193"/>
      <c r="Y203" s="193"/>
      <c r="Z203" s="193"/>
      <c r="AA203" s="193"/>
      <c r="AB203" s="193"/>
      <c r="AC203" s="193"/>
      <c r="AD203" s="193"/>
      <c r="AE203" s="193"/>
      <c r="AF203" s="193"/>
      <c r="AG203" s="193"/>
      <c r="AH203" s="193"/>
      <c r="AI203" s="193"/>
      <c r="AJ203" s="193"/>
      <c r="AK203" s="193"/>
      <c r="AL203" s="193"/>
      <c r="AM203" s="193"/>
      <c r="AN203" s="193"/>
      <c r="AO203" s="193"/>
      <c r="AP203" s="193"/>
      <c r="AQ203" s="193"/>
      <c r="AR203" s="193"/>
      <c r="AS203" s="193"/>
      <c r="AT203" s="193"/>
      <c r="AU203" s="193"/>
      <c r="AV203" s="193"/>
      <c r="AW203" s="193"/>
      <c r="AX203" s="193"/>
      <c r="AY203" s="193"/>
      <c r="AZ203" s="193"/>
      <c r="BA203" s="193"/>
      <c r="BB203" s="193"/>
      <c r="BC203" s="193"/>
      <c r="BD203" s="193"/>
      <c r="BE203" s="193"/>
    </row>
    <row r="204" spans="1:57" x14ac:dyDescent="0.2">
      <c r="A204" s="279"/>
      <c r="B204" s="279"/>
      <c r="C204" s="275"/>
      <c r="D204" s="275"/>
      <c r="E204" s="193"/>
      <c r="F204" s="193"/>
      <c r="G204" s="193"/>
      <c r="H204" s="193"/>
      <c r="I204" s="193"/>
      <c r="J204" s="193"/>
      <c r="K204" s="193"/>
      <c r="L204" s="193"/>
      <c r="M204" s="193"/>
      <c r="N204" s="193"/>
      <c r="O204" s="193"/>
      <c r="P204" s="193"/>
      <c r="Q204" s="193"/>
      <c r="R204" s="193"/>
      <c r="S204" s="193"/>
      <c r="T204" s="193"/>
      <c r="U204" s="193"/>
      <c r="V204" s="193"/>
      <c r="W204" s="193"/>
      <c r="X204" s="193"/>
      <c r="Y204" s="193"/>
      <c r="Z204" s="193"/>
      <c r="AA204" s="193"/>
      <c r="AB204" s="193"/>
      <c r="AC204" s="193"/>
      <c r="AD204" s="193"/>
      <c r="AE204" s="193"/>
      <c r="AF204" s="193"/>
      <c r="AG204" s="193"/>
      <c r="AH204" s="193"/>
      <c r="AI204" s="193"/>
      <c r="AJ204" s="193"/>
      <c r="AK204" s="193"/>
      <c r="AL204" s="193"/>
      <c r="AM204" s="193"/>
      <c r="AN204" s="193"/>
      <c r="AO204" s="193"/>
      <c r="AP204" s="193"/>
      <c r="AQ204" s="193"/>
      <c r="AR204" s="193"/>
      <c r="AS204" s="193"/>
      <c r="AT204" s="193"/>
      <c r="AU204" s="193"/>
      <c r="AV204" s="193"/>
      <c r="AW204" s="193"/>
      <c r="AX204" s="193"/>
      <c r="AY204" s="193"/>
      <c r="AZ204" s="193"/>
      <c r="BA204" s="193"/>
      <c r="BB204" s="193"/>
      <c r="BC204" s="193"/>
      <c r="BD204" s="193"/>
      <c r="BE204" s="193"/>
    </row>
    <row r="205" spans="1:57" x14ac:dyDescent="0.2">
      <c r="A205" s="279"/>
      <c r="B205" s="279"/>
      <c r="C205" s="275"/>
      <c r="D205" s="275"/>
      <c r="E205" s="193"/>
      <c r="F205" s="193"/>
      <c r="G205" s="193"/>
      <c r="H205" s="193"/>
      <c r="I205" s="193"/>
      <c r="J205" s="193"/>
      <c r="K205" s="193"/>
      <c r="L205" s="193"/>
      <c r="M205" s="193"/>
      <c r="N205" s="193"/>
      <c r="O205" s="193"/>
      <c r="P205" s="193"/>
      <c r="Q205" s="193"/>
      <c r="R205" s="193"/>
      <c r="S205" s="193"/>
      <c r="T205" s="193"/>
      <c r="U205" s="193"/>
      <c r="V205" s="193"/>
      <c r="W205" s="193"/>
      <c r="X205" s="193"/>
      <c r="Y205" s="193"/>
      <c r="Z205" s="193"/>
      <c r="AA205" s="193"/>
      <c r="AB205" s="193"/>
      <c r="AC205" s="193"/>
      <c r="AD205" s="193"/>
      <c r="AE205" s="193"/>
      <c r="AF205" s="193"/>
      <c r="AG205" s="193"/>
      <c r="AH205" s="193"/>
      <c r="AI205" s="193"/>
      <c r="AJ205" s="193"/>
      <c r="AK205" s="193"/>
      <c r="AL205" s="193"/>
      <c r="AM205" s="193"/>
      <c r="AN205" s="193"/>
      <c r="AO205" s="193"/>
      <c r="AP205" s="193"/>
      <c r="AQ205" s="193"/>
      <c r="AR205" s="193"/>
      <c r="AS205" s="193"/>
      <c r="AT205" s="193"/>
      <c r="AU205" s="193"/>
      <c r="AV205" s="193"/>
      <c r="AW205" s="193"/>
      <c r="AX205" s="193"/>
      <c r="AY205" s="193"/>
      <c r="AZ205" s="193"/>
      <c r="BA205" s="193"/>
      <c r="BB205" s="193"/>
      <c r="BC205" s="193"/>
      <c r="BD205" s="193"/>
      <c r="BE205" s="193"/>
    </row>
    <row r="206" spans="1:57" x14ac:dyDescent="0.2">
      <c r="A206" s="279"/>
      <c r="B206" s="279"/>
      <c r="C206" s="275"/>
      <c r="D206" s="275"/>
      <c r="E206" s="193"/>
      <c r="F206" s="193"/>
      <c r="G206" s="193"/>
      <c r="H206" s="193"/>
      <c r="I206" s="193"/>
      <c r="J206" s="193"/>
      <c r="K206" s="193"/>
      <c r="L206" s="193"/>
      <c r="M206" s="193"/>
      <c r="N206" s="193"/>
      <c r="O206" s="193"/>
      <c r="P206" s="193"/>
      <c r="Q206" s="193"/>
      <c r="R206" s="193"/>
      <c r="S206" s="193"/>
      <c r="T206" s="193"/>
      <c r="U206" s="193"/>
      <c r="V206" s="193"/>
      <c r="W206" s="193"/>
      <c r="X206" s="193"/>
      <c r="Y206" s="193"/>
      <c r="Z206" s="193"/>
      <c r="AA206" s="193"/>
      <c r="AB206" s="193"/>
      <c r="AC206" s="193"/>
      <c r="AD206" s="193"/>
      <c r="AE206" s="193"/>
      <c r="AF206" s="193"/>
      <c r="AG206" s="193"/>
      <c r="AH206" s="193"/>
      <c r="AI206" s="193"/>
      <c r="AJ206" s="193"/>
      <c r="AK206" s="193"/>
      <c r="AL206" s="193"/>
      <c r="AM206" s="193"/>
      <c r="AN206" s="193"/>
      <c r="AO206" s="193"/>
      <c r="AP206" s="193"/>
      <c r="AQ206" s="193"/>
      <c r="AR206" s="193"/>
      <c r="AS206" s="193"/>
      <c r="AT206" s="193"/>
      <c r="AU206" s="193"/>
      <c r="AV206" s="193"/>
      <c r="AW206" s="193"/>
      <c r="AX206" s="193"/>
      <c r="AY206" s="193"/>
      <c r="AZ206" s="193"/>
      <c r="BA206" s="193"/>
      <c r="BB206" s="193"/>
      <c r="BC206" s="193"/>
      <c r="BD206" s="193"/>
      <c r="BE206" s="193"/>
    </row>
    <row r="207" spans="1:57" x14ac:dyDescent="0.2">
      <c r="A207" s="279"/>
      <c r="B207" s="279"/>
      <c r="C207" s="275"/>
      <c r="D207" s="275"/>
      <c r="E207" s="193"/>
      <c r="F207" s="193"/>
      <c r="G207" s="193"/>
      <c r="H207" s="193"/>
      <c r="I207" s="193"/>
      <c r="J207" s="193"/>
      <c r="K207" s="193"/>
      <c r="L207" s="193"/>
      <c r="M207" s="193"/>
      <c r="N207" s="193"/>
      <c r="O207" s="193"/>
      <c r="P207" s="193"/>
      <c r="Q207" s="193"/>
      <c r="R207" s="193"/>
      <c r="S207" s="193"/>
      <c r="T207" s="193"/>
      <c r="U207" s="193"/>
      <c r="V207" s="193"/>
      <c r="W207" s="193"/>
      <c r="X207" s="193"/>
      <c r="Y207" s="193"/>
      <c r="Z207" s="193"/>
      <c r="AA207" s="193"/>
      <c r="AB207" s="193"/>
      <c r="AC207" s="193"/>
      <c r="AD207" s="193"/>
      <c r="AE207" s="193"/>
      <c r="AF207" s="193"/>
      <c r="AG207" s="193"/>
      <c r="AH207" s="193"/>
      <c r="AI207" s="193"/>
      <c r="AJ207" s="193"/>
      <c r="AK207" s="193"/>
      <c r="AL207" s="193"/>
      <c r="AM207" s="193"/>
      <c r="AN207" s="193"/>
      <c r="AO207" s="193"/>
      <c r="AP207" s="193"/>
      <c r="AQ207" s="193"/>
      <c r="AR207" s="193"/>
      <c r="AS207" s="193"/>
      <c r="AT207" s="193"/>
      <c r="AU207" s="193"/>
      <c r="AV207" s="193"/>
      <c r="AW207" s="193"/>
      <c r="AX207" s="193"/>
      <c r="AY207" s="193"/>
      <c r="AZ207" s="193"/>
      <c r="BA207" s="193"/>
      <c r="BB207" s="193"/>
      <c r="BC207" s="193"/>
      <c r="BD207" s="193"/>
      <c r="BE207" s="193"/>
    </row>
    <row r="208" spans="1:57" x14ac:dyDescent="0.2">
      <c r="A208" s="279"/>
      <c r="B208" s="279"/>
      <c r="C208" s="275"/>
      <c r="D208" s="275"/>
      <c r="E208" s="193"/>
      <c r="F208" s="193"/>
      <c r="G208" s="193"/>
      <c r="H208" s="193"/>
      <c r="I208" s="193"/>
      <c r="J208" s="193"/>
      <c r="K208" s="193"/>
      <c r="L208" s="193"/>
      <c r="M208" s="193"/>
      <c r="N208" s="193"/>
      <c r="O208" s="193"/>
      <c r="P208" s="193"/>
      <c r="Q208" s="193"/>
      <c r="R208" s="193"/>
      <c r="S208" s="193"/>
      <c r="T208" s="193"/>
      <c r="U208" s="193"/>
      <c r="V208" s="193"/>
      <c r="W208" s="193"/>
      <c r="X208" s="193"/>
      <c r="Y208" s="193"/>
      <c r="Z208" s="193"/>
      <c r="AA208" s="193"/>
      <c r="AB208" s="193"/>
      <c r="AC208" s="193"/>
      <c r="AD208" s="193"/>
      <c r="AE208" s="193"/>
      <c r="AF208" s="193"/>
      <c r="AG208" s="193"/>
      <c r="AH208" s="193"/>
      <c r="AI208" s="193"/>
      <c r="AJ208" s="193"/>
      <c r="AK208" s="193"/>
      <c r="AL208" s="193"/>
      <c r="AM208" s="193"/>
      <c r="AN208" s="193"/>
      <c r="AO208" s="193"/>
      <c r="AP208" s="193"/>
      <c r="AQ208" s="193"/>
      <c r="AR208" s="193"/>
      <c r="AS208" s="193"/>
      <c r="AT208" s="193"/>
      <c r="AU208" s="193"/>
      <c r="AV208" s="193"/>
      <c r="AW208" s="193"/>
      <c r="AX208" s="193"/>
      <c r="AY208" s="193"/>
      <c r="AZ208" s="193"/>
      <c r="BA208" s="193"/>
      <c r="BB208" s="193"/>
      <c r="BC208" s="193"/>
      <c r="BD208" s="193"/>
      <c r="BE208" s="193"/>
    </row>
    <row r="209" spans="1:57" x14ac:dyDescent="0.2">
      <c r="A209" s="279"/>
      <c r="B209" s="279"/>
      <c r="C209" s="275"/>
      <c r="D209" s="275"/>
      <c r="E209" s="193"/>
      <c r="F209" s="193"/>
      <c r="G209" s="193"/>
      <c r="H209" s="193"/>
      <c r="I209" s="193"/>
      <c r="J209" s="193"/>
      <c r="K209" s="193"/>
      <c r="L209" s="193"/>
      <c r="M209" s="193"/>
      <c r="N209" s="193"/>
      <c r="O209" s="193"/>
      <c r="P209" s="193"/>
      <c r="Q209" s="193"/>
      <c r="R209" s="193"/>
      <c r="S209" s="193"/>
      <c r="T209" s="193"/>
      <c r="U209" s="193"/>
      <c r="V209" s="193"/>
      <c r="W209" s="193"/>
      <c r="X209" s="193"/>
      <c r="Y209" s="193"/>
      <c r="Z209" s="193"/>
      <c r="AA209" s="193"/>
      <c r="AB209" s="193"/>
      <c r="AC209" s="193"/>
      <c r="AD209" s="193"/>
      <c r="AE209" s="193"/>
      <c r="AF209" s="193"/>
      <c r="AG209" s="193"/>
      <c r="AH209" s="193"/>
      <c r="AI209" s="193"/>
      <c r="AJ209" s="193"/>
      <c r="AK209" s="193"/>
      <c r="AL209" s="193"/>
      <c r="AM209" s="193"/>
      <c r="AN209" s="193"/>
      <c r="AO209" s="193"/>
      <c r="AP209" s="193"/>
      <c r="AQ209" s="193"/>
      <c r="AR209" s="193"/>
      <c r="AS209" s="193"/>
      <c r="AT209" s="193"/>
      <c r="AU209" s="193"/>
      <c r="AV209" s="193"/>
      <c r="AW209" s="193"/>
      <c r="AX209" s="193"/>
      <c r="AY209" s="193"/>
      <c r="AZ209" s="193"/>
      <c r="BA209" s="193"/>
      <c r="BB209" s="193"/>
      <c r="BC209" s="193"/>
      <c r="BD209" s="193"/>
      <c r="BE209" s="193"/>
    </row>
    <row r="210" spans="1:57" x14ac:dyDescent="0.2">
      <c r="A210" s="279"/>
      <c r="B210" s="279"/>
      <c r="C210" s="275"/>
      <c r="D210" s="275"/>
      <c r="E210" s="193"/>
      <c r="F210" s="193"/>
      <c r="G210" s="193"/>
      <c r="H210" s="193"/>
      <c r="I210" s="193"/>
      <c r="J210" s="193"/>
      <c r="K210" s="193"/>
      <c r="L210" s="193"/>
      <c r="M210" s="193"/>
      <c r="N210" s="193"/>
      <c r="O210" s="193"/>
      <c r="P210" s="193"/>
      <c r="Q210" s="193"/>
      <c r="R210" s="193"/>
      <c r="S210" s="193"/>
      <c r="T210" s="193"/>
      <c r="U210" s="193"/>
      <c r="V210" s="193"/>
      <c r="W210" s="193"/>
      <c r="X210" s="193"/>
      <c r="Y210" s="193"/>
      <c r="Z210" s="193"/>
      <c r="AA210" s="193"/>
      <c r="AB210" s="193"/>
      <c r="AC210" s="193"/>
      <c r="AD210" s="193"/>
      <c r="AE210" s="193"/>
      <c r="AF210" s="193"/>
      <c r="AG210" s="193"/>
      <c r="AH210" s="193"/>
      <c r="AI210" s="193"/>
      <c r="AJ210" s="193"/>
      <c r="AK210" s="193"/>
      <c r="AL210" s="193"/>
      <c r="AM210" s="193"/>
      <c r="AN210" s="193"/>
      <c r="AO210" s="193"/>
      <c r="AP210" s="193"/>
      <c r="AQ210" s="193"/>
      <c r="AR210" s="193"/>
      <c r="AS210" s="193"/>
      <c r="AT210" s="193"/>
      <c r="AU210" s="193"/>
      <c r="AV210" s="193"/>
      <c r="AW210" s="193"/>
      <c r="AX210" s="193"/>
      <c r="AY210" s="193"/>
      <c r="AZ210" s="193"/>
      <c r="BA210" s="193"/>
      <c r="BB210" s="193"/>
      <c r="BC210" s="193"/>
      <c r="BD210" s="193"/>
      <c r="BE210" s="193"/>
    </row>
    <row r="211" spans="1:57" x14ac:dyDescent="0.2">
      <c r="A211" s="279"/>
      <c r="B211" s="279"/>
      <c r="C211" s="275"/>
      <c r="D211" s="275"/>
      <c r="E211" s="193"/>
      <c r="F211" s="193"/>
      <c r="G211" s="193"/>
      <c r="H211" s="193"/>
      <c r="I211" s="193"/>
      <c r="J211" s="193"/>
      <c r="K211" s="193"/>
      <c r="L211" s="193"/>
      <c r="M211" s="193"/>
      <c r="N211" s="193"/>
      <c r="O211" s="193"/>
      <c r="P211" s="193"/>
      <c r="Q211" s="193"/>
      <c r="R211" s="193"/>
      <c r="S211" s="193"/>
      <c r="T211" s="193"/>
      <c r="U211" s="193"/>
      <c r="V211" s="193"/>
      <c r="W211" s="193"/>
      <c r="X211" s="193"/>
      <c r="Y211" s="193"/>
      <c r="Z211" s="193"/>
      <c r="AA211" s="193"/>
      <c r="AB211" s="193"/>
      <c r="AC211" s="193"/>
      <c r="AD211" s="193"/>
      <c r="AE211" s="193"/>
      <c r="AF211" s="193"/>
      <c r="AG211" s="193"/>
      <c r="AH211" s="193"/>
      <c r="AI211" s="193"/>
      <c r="AJ211" s="193"/>
      <c r="AK211" s="193"/>
      <c r="AL211" s="193"/>
      <c r="AM211" s="193"/>
      <c r="AN211" s="193"/>
      <c r="AO211" s="193"/>
      <c r="AP211" s="193"/>
      <c r="AQ211" s="193"/>
      <c r="AR211" s="193"/>
      <c r="AS211" s="193"/>
      <c r="AT211" s="193"/>
      <c r="AU211" s="193"/>
      <c r="AV211" s="193"/>
      <c r="AW211" s="193"/>
      <c r="AX211" s="193"/>
      <c r="AY211" s="193"/>
      <c r="AZ211" s="193"/>
      <c r="BA211" s="193"/>
      <c r="BB211" s="193"/>
      <c r="BC211" s="193"/>
      <c r="BD211" s="193"/>
      <c r="BE211" s="193"/>
    </row>
    <row r="212" spans="1:57" x14ac:dyDescent="0.2">
      <c r="A212" s="279"/>
      <c r="B212" s="279"/>
      <c r="C212" s="275"/>
      <c r="D212" s="275"/>
      <c r="E212" s="193"/>
      <c r="F212" s="193"/>
      <c r="G212" s="193"/>
      <c r="H212" s="193"/>
      <c r="I212" s="193"/>
      <c r="J212" s="193"/>
      <c r="K212" s="193"/>
      <c r="L212" s="193"/>
      <c r="M212" s="193"/>
      <c r="N212" s="193"/>
      <c r="O212" s="193"/>
      <c r="P212" s="193"/>
      <c r="Q212" s="193"/>
      <c r="R212" s="193"/>
      <c r="S212" s="193"/>
      <c r="T212" s="193"/>
      <c r="U212" s="193"/>
      <c r="V212" s="193"/>
      <c r="W212" s="193"/>
      <c r="X212" s="193"/>
      <c r="Y212" s="193"/>
      <c r="Z212" s="193"/>
      <c r="AA212" s="193"/>
      <c r="AB212" s="193"/>
      <c r="AC212" s="193"/>
      <c r="AD212" s="193"/>
      <c r="AE212" s="193"/>
      <c r="AF212" s="193"/>
      <c r="AG212" s="193"/>
      <c r="AH212" s="193"/>
      <c r="AI212" s="193"/>
      <c r="AJ212" s="193"/>
      <c r="AK212" s="193"/>
      <c r="AL212" s="193"/>
      <c r="AM212" s="193"/>
      <c r="AN212" s="193"/>
      <c r="AO212" s="193"/>
      <c r="AP212" s="193"/>
      <c r="AQ212" s="193"/>
      <c r="AR212" s="193"/>
      <c r="AS212" s="193"/>
      <c r="AT212" s="193"/>
      <c r="AU212" s="193"/>
      <c r="AV212" s="193"/>
      <c r="AW212" s="193"/>
      <c r="AX212" s="193"/>
      <c r="AY212" s="193"/>
      <c r="AZ212" s="193"/>
      <c r="BA212" s="193"/>
      <c r="BB212" s="193"/>
      <c r="BC212" s="193"/>
      <c r="BD212" s="193"/>
      <c r="BE212" s="193"/>
    </row>
    <row r="213" spans="1:57" x14ac:dyDescent="0.2">
      <c r="A213" s="279"/>
      <c r="B213" s="279"/>
      <c r="C213" s="275"/>
      <c r="D213" s="275"/>
      <c r="E213" s="193"/>
      <c r="F213" s="193"/>
      <c r="G213" s="193"/>
      <c r="H213" s="193"/>
      <c r="I213" s="193"/>
      <c r="J213" s="193"/>
      <c r="K213" s="193"/>
      <c r="L213" s="193"/>
      <c r="M213" s="193"/>
      <c r="N213" s="193"/>
      <c r="O213" s="193"/>
      <c r="P213" s="193"/>
      <c r="Q213" s="193"/>
      <c r="R213" s="193"/>
      <c r="S213" s="193"/>
      <c r="T213" s="193"/>
      <c r="U213" s="193"/>
      <c r="V213" s="193"/>
      <c r="W213" s="193"/>
      <c r="X213" s="193"/>
      <c r="Y213" s="193"/>
      <c r="Z213" s="193"/>
      <c r="AA213" s="193"/>
      <c r="AB213" s="193"/>
      <c r="AC213" s="193"/>
      <c r="AD213" s="193"/>
      <c r="AE213" s="193"/>
      <c r="AF213" s="193"/>
      <c r="AG213" s="193"/>
      <c r="AH213" s="193"/>
      <c r="AI213" s="193"/>
      <c r="AJ213" s="193"/>
      <c r="AK213" s="193"/>
      <c r="AL213" s="193"/>
      <c r="AM213" s="193"/>
      <c r="AN213" s="193"/>
      <c r="AO213" s="193"/>
      <c r="AP213" s="193"/>
      <c r="AQ213" s="193"/>
      <c r="AR213" s="193"/>
      <c r="AS213" s="193"/>
      <c r="AT213" s="193"/>
      <c r="AU213" s="193"/>
      <c r="AV213" s="193"/>
      <c r="AW213" s="193"/>
      <c r="AX213" s="193"/>
      <c r="AY213" s="193"/>
      <c r="AZ213" s="193"/>
      <c r="BA213" s="193"/>
      <c r="BB213" s="193"/>
      <c r="BC213" s="193"/>
      <c r="BD213" s="193"/>
      <c r="BE213" s="193"/>
    </row>
    <row r="214" spans="1:57" x14ac:dyDescent="0.2">
      <c r="A214" s="279"/>
      <c r="B214" s="279"/>
      <c r="C214" s="275"/>
      <c r="D214" s="275"/>
      <c r="E214" s="193"/>
      <c r="F214" s="193"/>
      <c r="G214" s="193"/>
      <c r="H214" s="193"/>
      <c r="I214" s="193"/>
      <c r="J214" s="193"/>
      <c r="K214" s="193"/>
      <c r="L214" s="193"/>
      <c r="M214" s="193"/>
      <c r="N214" s="193"/>
      <c r="O214" s="193"/>
      <c r="P214" s="193"/>
      <c r="Q214" s="193"/>
      <c r="R214" s="193"/>
      <c r="S214" s="193"/>
      <c r="T214" s="193"/>
      <c r="U214" s="193"/>
      <c r="V214" s="193"/>
      <c r="W214" s="193"/>
      <c r="X214" s="193"/>
      <c r="Y214" s="193"/>
      <c r="Z214" s="193"/>
      <c r="AA214" s="193"/>
      <c r="AB214" s="193"/>
      <c r="AC214" s="193"/>
      <c r="AD214" s="193"/>
      <c r="AE214" s="193"/>
      <c r="AF214" s="193"/>
      <c r="AG214" s="193"/>
      <c r="AH214" s="193"/>
      <c r="AI214" s="193"/>
      <c r="AJ214" s="193"/>
      <c r="AK214" s="193"/>
      <c r="AL214" s="193"/>
      <c r="AM214" s="193"/>
      <c r="AN214" s="193"/>
      <c r="AO214" s="193"/>
      <c r="AP214" s="193"/>
      <c r="AQ214" s="193"/>
      <c r="AR214" s="193"/>
      <c r="AS214" s="193"/>
      <c r="AT214" s="193"/>
      <c r="AU214" s="193"/>
      <c r="AV214" s="193"/>
      <c r="AW214" s="193"/>
      <c r="AX214" s="193"/>
      <c r="AY214" s="193"/>
      <c r="AZ214" s="193"/>
      <c r="BA214" s="193"/>
      <c r="BB214" s="193"/>
      <c r="BC214" s="193"/>
      <c r="BD214" s="193"/>
      <c r="BE214" s="193"/>
    </row>
    <row r="215" spans="1:57" x14ac:dyDescent="0.2">
      <c r="A215" s="279"/>
      <c r="B215" s="279"/>
      <c r="C215" s="275"/>
      <c r="D215" s="275"/>
      <c r="E215" s="193"/>
      <c r="F215" s="193"/>
      <c r="G215" s="193"/>
      <c r="H215" s="193"/>
      <c r="I215" s="193"/>
      <c r="J215" s="193"/>
      <c r="K215" s="193"/>
      <c r="L215" s="193"/>
      <c r="M215" s="193"/>
      <c r="N215" s="193"/>
      <c r="O215" s="193"/>
      <c r="P215" s="193"/>
      <c r="Q215" s="193"/>
      <c r="R215" s="193"/>
      <c r="S215" s="193"/>
      <c r="T215" s="193"/>
      <c r="U215" s="193"/>
      <c r="V215" s="193"/>
      <c r="W215" s="193"/>
      <c r="X215" s="193"/>
      <c r="Y215" s="193"/>
      <c r="Z215" s="193"/>
      <c r="AA215" s="193"/>
      <c r="AB215" s="193"/>
      <c r="AC215" s="193"/>
      <c r="AD215" s="193"/>
      <c r="AE215" s="193"/>
      <c r="AF215" s="193"/>
      <c r="AG215" s="193"/>
      <c r="AH215" s="193"/>
      <c r="AI215" s="193"/>
      <c r="AJ215" s="193"/>
      <c r="AK215" s="193"/>
      <c r="AL215" s="193"/>
      <c r="AM215" s="193"/>
      <c r="AN215" s="193"/>
      <c r="AO215" s="193"/>
      <c r="AP215" s="193"/>
      <c r="AQ215" s="193"/>
      <c r="AR215" s="193"/>
      <c r="AS215" s="193"/>
      <c r="AT215" s="193"/>
      <c r="AU215" s="193"/>
      <c r="AV215" s="193"/>
      <c r="AW215" s="193"/>
      <c r="AX215" s="193"/>
      <c r="AY215" s="193"/>
      <c r="AZ215" s="193"/>
      <c r="BA215" s="193"/>
      <c r="BB215" s="193"/>
      <c r="BC215" s="193"/>
      <c r="BD215" s="193"/>
      <c r="BE215" s="193"/>
    </row>
    <row r="216" spans="1:57" x14ac:dyDescent="0.2">
      <c r="A216" s="279"/>
      <c r="B216" s="279"/>
      <c r="C216" s="275"/>
      <c r="D216" s="275"/>
      <c r="E216" s="193"/>
      <c r="F216" s="193"/>
      <c r="G216" s="193"/>
      <c r="H216" s="193"/>
      <c r="I216" s="193"/>
      <c r="J216" s="193"/>
      <c r="K216" s="193"/>
      <c r="L216" s="193"/>
      <c r="M216" s="193"/>
      <c r="N216" s="193"/>
      <c r="O216" s="193"/>
      <c r="P216" s="193"/>
      <c r="Q216" s="193"/>
      <c r="R216" s="193"/>
      <c r="S216" s="193"/>
      <c r="T216" s="193"/>
      <c r="U216" s="193"/>
      <c r="V216" s="193"/>
      <c r="W216" s="193"/>
      <c r="X216" s="193"/>
      <c r="Y216" s="193"/>
      <c r="Z216" s="193"/>
      <c r="AA216" s="193"/>
      <c r="AB216" s="193"/>
      <c r="AC216" s="193"/>
      <c r="AD216" s="193"/>
      <c r="AE216" s="193"/>
      <c r="AF216" s="193"/>
      <c r="AG216" s="193"/>
      <c r="AH216" s="193"/>
      <c r="AI216" s="193"/>
      <c r="AJ216" s="193"/>
      <c r="AK216" s="193"/>
      <c r="AL216" s="193"/>
      <c r="AM216" s="193"/>
      <c r="AN216" s="193"/>
      <c r="AO216" s="193"/>
      <c r="AP216" s="193"/>
      <c r="AQ216" s="193"/>
      <c r="AR216" s="193"/>
      <c r="AS216" s="193"/>
      <c r="AT216" s="193"/>
      <c r="AU216" s="193"/>
      <c r="AV216" s="193"/>
      <c r="AW216" s="193"/>
      <c r="AX216" s="193"/>
      <c r="AY216" s="193"/>
      <c r="AZ216" s="193"/>
      <c r="BA216" s="193"/>
      <c r="BB216" s="193"/>
      <c r="BC216" s="193"/>
      <c r="BD216" s="193"/>
      <c r="BE216" s="193"/>
    </row>
    <row r="217" spans="1:57" x14ac:dyDescent="0.2">
      <c r="A217" s="279"/>
      <c r="B217" s="279"/>
      <c r="C217" s="275"/>
      <c r="D217" s="275"/>
      <c r="E217" s="193"/>
      <c r="F217" s="193"/>
      <c r="G217" s="193"/>
      <c r="H217" s="193"/>
      <c r="I217" s="193"/>
      <c r="J217" s="193"/>
      <c r="K217" s="193"/>
      <c r="L217" s="193"/>
      <c r="M217" s="193"/>
      <c r="N217" s="193"/>
      <c r="O217" s="193"/>
      <c r="P217" s="193"/>
      <c r="Q217" s="193"/>
      <c r="R217" s="193"/>
      <c r="S217" s="193"/>
      <c r="T217" s="193"/>
      <c r="U217" s="193"/>
      <c r="V217" s="193"/>
      <c r="W217" s="193"/>
      <c r="X217" s="193"/>
      <c r="Y217" s="193"/>
      <c r="Z217" s="193"/>
      <c r="AA217" s="193"/>
      <c r="AB217" s="193"/>
      <c r="AC217" s="193"/>
      <c r="AD217" s="193"/>
      <c r="AE217" s="193"/>
      <c r="AF217" s="193"/>
      <c r="AG217" s="193"/>
      <c r="AH217" s="193"/>
      <c r="AI217" s="193"/>
      <c r="AJ217" s="193"/>
      <c r="AK217" s="193"/>
      <c r="AL217" s="193"/>
      <c r="AM217" s="193"/>
      <c r="AN217" s="193"/>
      <c r="AO217" s="193"/>
      <c r="AP217" s="193"/>
      <c r="AQ217" s="193"/>
      <c r="AR217" s="193"/>
      <c r="AS217" s="193"/>
      <c r="AT217" s="193"/>
      <c r="AU217" s="193"/>
      <c r="AV217" s="193"/>
      <c r="AW217" s="193"/>
      <c r="AX217" s="193"/>
      <c r="AY217" s="193"/>
      <c r="AZ217" s="193"/>
      <c r="BA217" s="193"/>
      <c r="BB217" s="193"/>
      <c r="BC217" s="193"/>
      <c r="BD217" s="193"/>
      <c r="BE217" s="193"/>
    </row>
    <row r="218" spans="1:57" x14ac:dyDescent="0.2">
      <c r="A218" s="279"/>
      <c r="B218" s="279"/>
      <c r="C218" s="275"/>
      <c r="D218" s="275"/>
      <c r="E218" s="193"/>
      <c r="F218" s="193"/>
      <c r="G218" s="193"/>
      <c r="H218" s="193"/>
      <c r="I218" s="193"/>
      <c r="J218" s="193"/>
      <c r="K218" s="193"/>
      <c r="L218" s="193"/>
      <c r="M218" s="193"/>
      <c r="N218" s="193"/>
      <c r="O218" s="193"/>
      <c r="P218" s="193"/>
      <c r="Q218" s="193"/>
      <c r="R218" s="193"/>
      <c r="S218" s="193"/>
      <c r="T218" s="193"/>
      <c r="U218" s="193"/>
      <c r="V218" s="193"/>
      <c r="W218" s="193"/>
      <c r="X218" s="193"/>
      <c r="Y218" s="193"/>
      <c r="Z218" s="193"/>
      <c r="AA218" s="193"/>
      <c r="AB218" s="193"/>
      <c r="AC218" s="193"/>
      <c r="AD218" s="193"/>
      <c r="AE218" s="193"/>
      <c r="AF218" s="193"/>
      <c r="AG218" s="193"/>
      <c r="AH218" s="193"/>
      <c r="AI218" s="193"/>
      <c r="AJ218" s="193"/>
      <c r="AK218" s="193"/>
      <c r="AL218" s="193"/>
      <c r="AM218" s="193"/>
      <c r="AN218" s="193"/>
      <c r="AO218" s="193"/>
      <c r="AP218" s="193"/>
      <c r="AQ218" s="193"/>
      <c r="AR218" s="193"/>
      <c r="AS218" s="193"/>
      <c r="AT218" s="193"/>
      <c r="AU218" s="193"/>
      <c r="AV218" s="193"/>
      <c r="AW218" s="193"/>
      <c r="AX218" s="193"/>
      <c r="AY218" s="193"/>
      <c r="AZ218" s="193"/>
      <c r="BA218" s="193"/>
      <c r="BB218" s="193"/>
      <c r="BC218" s="193"/>
      <c r="BD218" s="193"/>
      <c r="BE218" s="193"/>
    </row>
    <row r="219" spans="1:57" x14ac:dyDescent="0.2">
      <c r="A219" s="279"/>
      <c r="B219" s="279"/>
      <c r="C219" s="275"/>
      <c r="D219" s="275"/>
      <c r="E219" s="193"/>
      <c r="F219" s="193"/>
      <c r="G219" s="193"/>
      <c r="H219" s="193"/>
      <c r="I219" s="193"/>
      <c r="J219" s="193"/>
      <c r="K219" s="193"/>
      <c r="L219" s="193"/>
      <c r="M219" s="193"/>
      <c r="N219" s="193"/>
      <c r="O219" s="193"/>
      <c r="P219" s="193"/>
      <c r="Q219" s="193"/>
      <c r="R219" s="193"/>
      <c r="S219" s="193"/>
      <c r="T219" s="193"/>
      <c r="U219" s="193"/>
      <c r="V219" s="193"/>
      <c r="W219" s="193"/>
      <c r="X219" s="193"/>
      <c r="Y219" s="193"/>
      <c r="Z219" s="193"/>
      <c r="AA219" s="193"/>
      <c r="AB219" s="193"/>
      <c r="AC219" s="193"/>
      <c r="AD219" s="193"/>
      <c r="AE219" s="193"/>
      <c r="AF219" s="193"/>
      <c r="AG219" s="193"/>
      <c r="AH219" s="193"/>
      <c r="AI219" s="193"/>
      <c r="AJ219" s="193"/>
      <c r="AK219" s="193"/>
      <c r="AL219" s="193"/>
      <c r="AM219" s="193"/>
      <c r="AN219" s="193"/>
      <c r="AO219" s="193"/>
      <c r="AP219" s="193"/>
      <c r="AQ219" s="193"/>
      <c r="AR219" s="193"/>
      <c r="AS219" s="193"/>
      <c r="AT219" s="193"/>
      <c r="AU219" s="193"/>
      <c r="AV219" s="193"/>
      <c r="AW219" s="193"/>
      <c r="AX219" s="193"/>
      <c r="AY219" s="193"/>
      <c r="AZ219" s="193"/>
      <c r="BA219" s="193"/>
      <c r="BB219" s="193"/>
      <c r="BC219" s="193"/>
      <c r="BD219" s="193"/>
      <c r="BE219" s="193"/>
    </row>
    <row r="220" spans="1:57" x14ac:dyDescent="0.2">
      <c r="A220" s="279"/>
      <c r="B220" s="279"/>
      <c r="C220" s="275"/>
      <c r="D220" s="275"/>
      <c r="E220" s="193"/>
      <c r="F220" s="193"/>
      <c r="G220" s="193"/>
      <c r="H220" s="193"/>
      <c r="I220" s="193"/>
      <c r="J220" s="193"/>
      <c r="K220" s="193"/>
      <c r="L220" s="193"/>
      <c r="M220" s="193"/>
      <c r="N220" s="193"/>
      <c r="O220" s="193"/>
      <c r="P220" s="193"/>
      <c r="Q220" s="193"/>
      <c r="R220" s="193"/>
      <c r="S220" s="193"/>
      <c r="T220" s="193"/>
      <c r="U220" s="193"/>
      <c r="V220" s="193"/>
      <c r="W220" s="193"/>
      <c r="X220" s="193"/>
      <c r="Y220" s="193"/>
      <c r="Z220" s="193"/>
      <c r="AA220" s="193"/>
      <c r="AB220" s="193"/>
      <c r="AC220" s="193"/>
      <c r="AD220" s="193"/>
      <c r="AE220" s="193"/>
      <c r="AF220" s="193"/>
      <c r="AG220" s="193"/>
      <c r="AH220" s="193"/>
      <c r="AI220" s="193"/>
      <c r="AJ220" s="193"/>
      <c r="AK220" s="193"/>
      <c r="AL220" s="193"/>
      <c r="AM220" s="193"/>
      <c r="AN220" s="193"/>
      <c r="AO220" s="193"/>
      <c r="AP220" s="193"/>
      <c r="AQ220" s="193"/>
      <c r="AR220" s="193"/>
      <c r="AS220" s="193"/>
      <c r="AT220" s="193"/>
      <c r="AU220" s="193"/>
      <c r="AV220" s="193"/>
      <c r="AW220" s="193"/>
      <c r="AX220" s="193"/>
      <c r="AY220" s="193"/>
      <c r="AZ220" s="193"/>
      <c r="BA220" s="193"/>
      <c r="BB220" s="193"/>
      <c r="BC220" s="193"/>
      <c r="BD220" s="193"/>
      <c r="BE220" s="193"/>
    </row>
    <row r="221" spans="1:57" x14ac:dyDescent="0.2">
      <c r="A221" s="279"/>
      <c r="B221" s="279"/>
      <c r="C221" s="275"/>
      <c r="D221" s="275"/>
      <c r="E221" s="193"/>
      <c r="F221" s="193"/>
      <c r="G221" s="193"/>
      <c r="H221" s="193"/>
      <c r="I221" s="193"/>
      <c r="J221" s="193"/>
      <c r="K221" s="193"/>
      <c r="L221" s="193"/>
      <c r="M221" s="193"/>
      <c r="N221" s="193"/>
      <c r="O221" s="193"/>
      <c r="P221" s="193"/>
      <c r="Q221" s="193"/>
      <c r="R221" s="193"/>
      <c r="S221" s="193"/>
      <c r="T221" s="193"/>
      <c r="U221" s="193"/>
      <c r="V221" s="193"/>
      <c r="W221" s="193"/>
      <c r="X221" s="193"/>
      <c r="Y221" s="193"/>
      <c r="Z221" s="193"/>
      <c r="AA221" s="193"/>
      <c r="AB221" s="193"/>
      <c r="AC221" s="193"/>
      <c r="AD221" s="193"/>
      <c r="AE221" s="193"/>
      <c r="AF221" s="193"/>
      <c r="AG221" s="193"/>
      <c r="AH221" s="193"/>
      <c r="AI221" s="193"/>
      <c r="AJ221" s="193"/>
      <c r="AK221" s="193"/>
      <c r="AL221" s="193"/>
      <c r="AM221" s="193"/>
      <c r="AN221" s="193"/>
      <c r="AO221" s="193"/>
      <c r="AP221" s="193"/>
      <c r="AQ221" s="193"/>
      <c r="AR221" s="193"/>
      <c r="AS221" s="193"/>
      <c r="AT221" s="193"/>
      <c r="AU221" s="193"/>
      <c r="AV221" s="193"/>
      <c r="AW221" s="193"/>
      <c r="AX221" s="193"/>
      <c r="AY221" s="193"/>
      <c r="AZ221" s="193"/>
      <c r="BA221" s="193"/>
      <c r="BB221" s="193"/>
      <c r="BC221" s="193"/>
      <c r="BD221" s="193"/>
      <c r="BE221" s="193"/>
    </row>
    <row r="222" spans="1:57" x14ac:dyDescent="0.2">
      <c r="A222" s="279"/>
      <c r="B222" s="279"/>
      <c r="C222" s="275"/>
      <c r="D222" s="275"/>
      <c r="E222" s="193"/>
      <c r="F222" s="193"/>
      <c r="G222" s="193"/>
      <c r="H222" s="193"/>
      <c r="I222" s="193"/>
      <c r="J222" s="193"/>
      <c r="K222" s="193"/>
      <c r="L222" s="193"/>
      <c r="M222" s="193"/>
      <c r="N222" s="193"/>
      <c r="O222" s="193"/>
      <c r="P222" s="193"/>
      <c r="Q222" s="193"/>
      <c r="R222" s="193"/>
      <c r="S222" s="193"/>
      <c r="T222" s="193"/>
      <c r="U222" s="193"/>
      <c r="V222" s="193"/>
      <c r="W222" s="193"/>
      <c r="X222" s="193"/>
      <c r="Y222" s="193"/>
      <c r="Z222" s="193"/>
      <c r="AA222" s="193"/>
      <c r="AB222" s="193"/>
      <c r="AC222" s="193"/>
      <c r="AD222" s="193"/>
      <c r="AE222" s="193"/>
      <c r="AF222" s="193"/>
      <c r="AG222" s="193"/>
      <c r="AH222" s="193"/>
      <c r="AI222" s="193"/>
      <c r="AJ222" s="193"/>
      <c r="AK222" s="193"/>
      <c r="AL222" s="193"/>
      <c r="AM222" s="193"/>
      <c r="AN222" s="193"/>
      <c r="AO222" s="193"/>
      <c r="AP222" s="193"/>
      <c r="AQ222" s="193"/>
      <c r="AR222" s="193"/>
      <c r="AS222" s="193"/>
      <c r="AT222" s="193"/>
      <c r="AU222" s="193"/>
      <c r="AV222" s="193"/>
      <c r="AW222" s="193"/>
      <c r="AX222" s="193"/>
      <c r="AY222" s="193"/>
      <c r="AZ222" s="193"/>
      <c r="BA222" s="193"/>
      <c r="BB222" s="193"/>
      <c r="BC222" s="193"/>
      <c r="BD222" s="193"/>
      <c r="BE222" s="193"/>
    </row>
    <row r="223" spans="1:57" x14ac:dyDescent="0.2">
      <c r="A223" s="279"/>
      <c r="B223" s="279"/>
      <c r="C223" s="275"/>
      <c r="D223" s="275"/>
      <c r="E223" s="193"/>
      <c r="F223" s="193"/>
      <c r="G223" s="193"/>
      <c r="H223" s="193"/>
      <c r="I223" s="193"/>
      <c r="J223" s="193"/>
      <c r="K223" s="193"/>
      <c r="L223" s="193"/>
      <c r="M223" s="193"/>
      <c r="N223" s="193"/>
      <c r="O223" s="193"/>
      <c r="P223" s="193"/>
      <c r="Q223" s="193"/>
      <c r="R223" s="193"/>
      <c r="S223" s="193"/>
      <c r="T223" s="193"/>
      <c r="U223" s="193"/>
      <c r="V223" s="193"/>
      <c r="W223" s="193"/>
      <c r="X223" s="193"/>
      <c r="Y223" s="193"/>
      <c r="Z223" s="193"/>
      <c r="AA223" s="193"/>
      <c r="AB223" s="193"/>
      <c r="AC223" s="193"/>
      <c r="AD223" s="193"/>
      <c r="AE223" s="193"/>
      <c r="AF223" s="193"/>
      <c r="AG223" s="193"/>
      <c r="AH223" s="193"/>
      <c r="AI223" s="193"/>
      <c r="AJ223" s="193"/>
      <c r="AK223" s="193"/>
      <c r="AL223" s="193"/>
      <c r="AM223" s="193"/>
      <c r="AN223" s="193"/>
      <c r="AO223" s="193"/>
      <c r="AP223" s="193"/>
      <c r="AQ223" s="193"/>
      <c r="AR223" s="193"/>
      <c r="AS223" s="193"/>
      <c r="AT223" s="193"/>
      <c r="AU223" s="193"/>
      <c r="AV223" s="193"/>
      <c r="AW223" s="193"/>
      <c r="AX223" s="193"/>
      <c r="AY223" s="193"/>
      <c r="AZ223" s="193"/>
      <c r="BA223" s="193"/>
      <c r="BB223" s="193"/>
      <c r="BC223" s="193"/>
      <c r="BD223" s="193"/>
      <c r="BE223" s="193"/>
    </row>
    <row r="224" spans="1:57" x14ac:dyDescent="0.2">
      <c r="A224" s="279"/>
      <c r="B224" s="279"/>
      <c r="C224" s="275"/>
      <c r="D224" s="275"/>
      <c r="E224" s="193"/>
      <c r="F224" s="193"/>
      <c r="G224" s="193"/>
      <c r="H224" s="193"/>
      <c r="I224" s="193"/>
      <c r="J224" s="193"/>
      <c r="K224" s="193"/>
      <c r="L224" s="193"/>
      <c r="M224" s="193"/>
      <c r="N224" s="193"/>
      <c r="O224" s="193"/>
      <c r="P224" s="193"/>
      <c r="Q224" s="193"/>
      <c r="R224" s="193"/>
      <c r="S224" s="193"/>
      <c r="T224" s="193"/>
      <c r="U224" s="193"/>
      <c r="V224" s="193"/>
      <c r="W224" s="193"/>
      <c r="X224" s="193"/>
      <c r="Y224" s="193"/>
      <c r="Z224" s="193"/>
      <c r="AA224" s="193"/>
      <c r="AB224" s="193"/>
      <c r="AC224" s="193"/>
      <c r="AD224" s="193"/>
      <c r="AE224" s="193"/>
      <c r="AF224" s="193"/>
      <c r="AG224" s="193"/>
      <c r="AH224" s="193"/>
      <c r="AI224" s="193"/>
      <c r="AJ224" s="193"/>
      <c r="AK224" s="193"/>
      <c r="AL224" s="193"/>
      <c r="AM224" s="193"/>
      <c r="AN224" s="193"/>
      <c r="AO224" s="193"/>
      <c r="AP224" s="193"/>
      <c r="AQ224" s="193"/>
      <c r="AR224" s="193"/>
      <c r="AS224" s="193"/>
      <c r="AT224" s="193"/>
      <c r="AU224" s="193"/>
      <c r="AV224" s="193"/>
      <c r="AW224" s="193"/>
      <c r="AX224" s="193"/>
      <c r="AY224" s="193"/>
      <c r="AZ224" s="193"/>
      <c r="BA224" s="193"/>
      <c r="BB224" s="193"/>
      <c r="BC224" s="193"/>
      <c r="BD224" s="193"/>
      <c r="BE224" s="193"/>
    </row>
    <row r="225" spans="1:57" x14ac:dyDescent="0.2">
      <c r="A225" s="279"/>
      <c r="B225" s="279"/>
      <c r="C225" s="275"/>
      <c r="D225" s="275"/>
      <c r="E225" s="193"/>
      <c r="F225" s="193"/>
      <c r="G225" s="193"/>
      <c r="H225" s="193"/>
      <c r="I225" s="193"/>
      <c r="J225" s="193"/>
      <c r="K225" s="193"/>
      <c r="L225" s="193"/>
      <c r="M225" s="193"/>
      <c r="N225" s="193"/>
      <c r="O225" s="193"/>
      <c r="P225" s="193"/>
      <c r="Q225" s="193"/>
      <c r="R225" s="193"/>
      <c r="S225" s="193"/>
      <c r="T225" s="193"/>
      <c r="U225" s="193"/>
      <c r="V225" s="193"/>
      <c r="W225" s="193"/>
      <c r="X225" s="193"/>
      <c r="Y225" s="193"/>
      <c r="Z225" s="193"/>
      <c r="AA225" s="193"/>
      <c r="AB225" s="193"/>
      <c r="AC225" s="193"/>
      <c r="AD225" s="193"/>
      <c r="AE225" s="193"/>
      <c r="AF225" s="193"/>
      <c r="AG225" s="193"/>
      <c r="AH225" s="193"/>
      <c r="AI225" s="193"/>
      <c r="AJ225" s="193"/>
      <c r="AK225" s="193"/>
      <c r="AL225" s="193"/>
      <c r="AM225" s="193"/>
      <c r="AN225" s="193"/>
      <c r="AO225" s="193"/>
      <c r="AP225" s="193"/>
      <c r="AQ225" s="193"/>
      <c r="AR225" s="193"/>
      <c r="AS225" s="193"/>
      <c r="AT225" s="193"/>
      <c r="AU225" s="193"/>
      <c r="AV225" s="193"/>
      <c r="AW225" s="193"/>
      <c r="AX225" s="193"/>
      <c r="AY225" s="193"/>
      <c r="AZ225" s="193"/>
      <c r="BA225" s="193"/>
      <c r="BB225" s="193"/>
      <c r="BC225" s="193"/>
      <c r="BD225" s="193"/>
      <c r="BE225" s="193"/>
    </row>
    <row r="226" spans="1:57" x14ac:dyDescent="0.2">
      <c r="A226" s="279"/>
      <c r="B226" s="279"/>
      <c r="C226" s="275"/>
      <c r="D226" s="275"/>
      <c r="E226" s="193"/>
      <c r="F226" s="193"/>
      <c r="G226" s="193"/>
      <c r="H226" s="193"/>
      <c r="I226" s="193"/>
      <c r="J226" s="193"/>
      <c r="K226" s="193"/>
      <c r="L226" s="193"/>
      <c r="M226" s="193"/>
      <c r="N226" s="193"/>
      <c r="O226" s="193"/>
      <c r="P226" s="193"/>
      <c r="Q226" s="193"/>
      <c r="R226" s="193"/>
      <c r="S226" s="193"/>
      <c r="T226" s="193"/>
      <c r="U226" s="193"/>
      <c r="V226" s="193"/>
      <c r="W226" s="193"/>
      <c r="X226" s="193"/>
      <c r="Y226" s="193"/>
      <c r="Z226" s="193"/>
      <c r="AA226" s="193"/>
      <c r="AB226" s="193"/>
      <c r="AC226" s="193"/>
      <c r="AD226" s="193"/>
      <c r="AE226" s="193"/>
      <c r="AF226" s="193"/>
      <c r="AG226" s="193"/>
      <c r="AH226" s="193"/>
      <c r="AI226" s="193"/>
      <c r="AJ226" s="193"/>
      <c r="AK226" s="193"/>
      <c r="AL226" s="193"/>
      <c r="AM226" s="193"/>
      <c r="AN226" s="193"/>
      <c r="AO226" s="193"/>
      <c r="AP226" s="193"/>
      <c r="AQ226" s="193"/>
      <c r="AR226" s="193"/>
      <c r="AS226" s="193"/>
      <c r="AT226" s="193"/>
      <c r="AU226" s="193"/>
      <c r="AV226" s="193"/>
      <c r="AW226" s="193"/>
      <c r="AX226" s="193"/>
      <c r="AY226" s="193"/>
      <c r="AZ226" s="193"/>
      <c r="BA226" s="193"/>
      <c r="BB226" s="193"/>
      <c r="BC226" s="193"/>
      <c r="BD226" s="193"/>
      <c r="BE226" s="193"/>
    </row>
    <row r="227" spans="1:57" x14ac:dyDescent="0.2">
      <c r="A227" s="279"/>
      <c r="B227" s="279"/>
      <c r="C227" s="275"/>
      <c r="D227" s="275"/>
      <c r="E227" s="193"/>
      <c r="F227" s="193"/>
      <c r="G227" s="193"/>
      <c r="H227" s="193"/>
      <c r="I227" s="193"/>
      <c r="J227" s="193"/>
      <c r="K227" s="193"/>
      <c r="L227" s="193"/>
      <c r="M227" s="193"/>
      <c r="N227" s="193"/>
      <c r="O227" s="193"/>
      <c r="P227" s="193"/>
      <c r="Q227" s="193"/>
      <c r="R227" s="193"/>
      <c r="S227" s="193"/>
      <c r="T227" s="193"/>
      <c r="U227" s="193"/>
      <c r="V227" s="193"/>
      <c r="W227" s="193"/>
      <c r="X227" s="193"/>
      <c r="Y227" s="193"/>
      <c r="Z227" s="193"/>
      <c r="AA227" s="193"/>
      <c r="AB227" s="193"/>
      <c r="AC227" s="193"/>
      <c r="AD227" s="193"/>
      <c r="AE227" s="193"/>
      <c r="AF227" s="193"/>
      <c r="AG227" s="193"/>
      <c r="AH227" s="193"/>
      <c r="AI227" s="193"/>
      <c r="AJ227" s="193"/>
      <c r="AK227" s="193"/>
      <c r="AL227" s="193"/>
      <c r="AM227" s="193"/>
      <c r="AN227" s="193"/>
      <c r="AO227" s="193"/>
      <c r="AP227" s="193"/>
      <c r="AQ227" s="193"/>
      <c r="AR227" s="193"/>
      <c r="AS227" s="193"/>
      <c r="AT227" s="193"/>
      <c r="AU227" s="193"/>
      <c r="AV227" s="193"/>
      <c r="AW227" s="193"/>
      <c r="AX227" s="193"/>
      <c r="AY227" s="193"/>
      <c r="AZ227" s="193"/>
      <c r="BA227" s="193"/>
      <c r="BB227" s="193"/>
      <c r="BC227" s="193"/>
      <c r="BD227" s="193"/>
      <c r="BE227" s="193"/>
    </row>
    <row r="228" spans="1:57" x14ac:dyDescent="0.2">
      <c r="A228" s="279"/>
      <c r="B228" s="279"/>
      <c r="C228" s="275"/>
      <c r="D228" s="275"/>
      <c r="E228" s="193"/>
      <c r="F228" s="193"/>
      <c r="G228" s="193"/>
      <c r="H228" s="193"/>
      <c r="I228" s="193"/>
      <c r="J228" s="193"/>
      <c r="K228" s="193"/>
      <c r="L228" s="193"/>
      <c r="M228" s="193"/>
      <c r="N228" s="193"/>
      <c r="O228" s="193"/>
      <c r="P228" s="193"/>
      <c r="Q228" s="193"/>
      <c r="R228" s="193"/>
      <c r="S228" s="193"/>
      <c r="T228" s="193"/>
      <c r="U228" s="193"/>
      <c r="V228" s="193"/>
      <c r="W228" s="193"/>
      <c r="X228" s="193"/>
      <c r="Y228" s="193"/>
      <c r="Z228" s="193"/>
      <c r="AA228" s="193"/>
      <c r="AB228" s="193"/>
      <c r="AC228" s="193"/>
      <c r="AD228" s="193"/>
      <c r="AE228" s="193"/>
      <c r="AF228" s="193"/>
      <c r="AG228" s="193"/>
      <c r="AH228" s="193"/>
      <c r="AI228" s="193"/>
      <c r="AJ228" s="193"/>
      <c r="AK228" s="193"/>
      <c r="AL228" s="193"/>
      <c r="AM228" s="193"/>
      <c r="AN228" s="193"/>
      <c r="AO228" s="193"/>
      <c r="AP228" s="193"/>
      <c r="AQ228" s="193"/>
      <c r="AR228" s="193"/>
      <c r="AS228" s="193"/>
      <c r="AT228" s="193"/>
      <c r="AU228" s="193"/>
      <c r="AV228" s="193"/>
      <c r="AW228" s="193"/>
      <c r="AX228" s="193"/>
      <c r="AY228" s="193"/>
      <c r="AZ228" s="193"/>
      <c r="BA228" s="193"/>
      <c r="BB228" s="193"/>
      <c r="BC228" s="193"/>
      <c r="BD228" s="193"/>
      <c r="BE228" s="193"/>
    </row>
    <row r="229" spans="1:57" x14ac:dyDescent="0.2">
      <c r="A229" s="279"/>
      <c r="B229" s="279"/>
      <c r="C229" s="275"/>
      <c r="D229" s="275"/>
      <c r="E229" s="193"/>
      <c r="F229" s="193"/>
      <c r="G229" s="193"/>
      <c r="H229" s="193"/>
      <c r="I229" s="193"/>
      <c r="J229" s="193"/>
      <c r="K229" s="193"/>
      <c r="L229" s="193"/>
      <c r="M229" s="193"/>
      <c r="N229" s="193"/>
      <c r="O229" s="193"/>
      <c r="P229" s="193"/>
      <c r="Q229" s="193"/>
      <c r="R229" s="193"/>
      <c r="S229" s="193"/>
      <c r="T229" s="193"/>
      <c r="U229" s="193"/>
      <c r="V229" s="193"/>
      <c r="W229" s="193"/>
      <c r="X229" s="193"/>
      <c r="Y229" s="193"/>
      <c r="Z229" s="193"/>
      <c r="AA229" s="193"/>
      <c r="AB229" s="193"/>
      <c r="AC229" s="193"/>
      <c r="AD229" s="193"/>
      <c r="AE229" s="193"/>
      <c r="AF229" s="193"/>
      <c r="AG229" s="193"/>
      <c r="AH229" s="193"/>
      <c r="AI229" s="193"/>
      <c r="AJ229" s="193"/>
      <c r="AK229" s="193"/>
      <c r="AL229" s="193"/>
      <c r="AM229" s="193"/>
      <c r="AN229" s="193"/>
      <c r="AO229" s="193"/>
      <c r="AP229" s="193"/>
      <c r="AQ229" s="193"/>
      <c r="AR229" s="193"/>
      <c r="AS229" s="193"/>
      <c r="AT229" s="193"/>
      <c r="AU229" s="193"/>
      <c r="AV229" s="193"/>
      <c r="AW229" s="193"/>
      <c r="AX229" s="193"/>
      <c r="AY229" s="193"/>
      <c r="AZ229" s="193"/>
      <c r="BA229" s="193"/>
      <c r="BB229" s="193"/>
      <c r="BC229" s="193"/>
      <c r="BD229" s="193"/>
      <c r="BE229" s="193"/>
    </row>
    <row r="230" spans="1:57" x14ac:dyDescent="0.2">
      <c r="A230" s="279"/>
      <c r="B230" s="279"/>
      <c r="C230" s="275"/>
      <c r="D230" s="275"/>
      <c r="E230" s="193"/>
      <c r="F230" s="193"/>
      <c r="G230" s="193"/>
      <c r="H230" s="193"/>
      <c r="I230" s="193"/>
      <c r="J230" s="193"/>
      <c r="K230" s="193"/>
      <c r="L230" s="193"/>
      <c r="M230" s="193"/>
      <c r="N230" s="193"/>
      <c r="O230" s="193"/>
      <c r="P230" s="193"/>
      <c r="Q230" s="193"/>
      <c r="R230" s="193"/>
      <c r="S230" s="193"/>
      <c r="T230" s="193"/>
      <c r="U230" s="193"/>
      <c r="V230" s="193"/>
      <c r="W230" s="193"/>
      <c r="X230" s="193"/>
      <c r="Y230" s="193"/>
      <c r="Z230" s="193"/>
      <c r="AA230" s="193"/>
      <c r="AB230" s="193"/>
      <c r="AC230" s="193"/>
      <c r="AD230" s="193"/>
      <c r="AE230" s="193"/>
      <c r="AF230" s="193"/>
      <c r="AG230" s="193"/>
      <c r="AH230" s="193"/>
      <c r="AI230" s="193"/>
      <c r="AJ230" s="193"/>
      <c r="AK230" s="193"/>
      <c r="AL230" s="193"/>
      <c r="AM230" s="193"/>
      <c r="AN230" s="193"/>
      <c r="AO230" s="193"/>
      <c r="AP230" s="193"/>
      <c r="AQ230" s="193"/>
      <c r="AR230" s="193"/>
      <c r="AS230" s="193"/>
      <c r="AT230" s="193"/>
      <c r="AU230" s="193"/>
      <c r="AV230" s="193"/>
      <c r="AW230" s="193"/>
      <c r="AX230" s="193"/>
      <c r="AY230" s="193"/>
      <c r="AZ230" s="193"/>
      <c r="BA230" s="193"/>
      <c r="BB230" s="193"/>
      <c r="BC230" s="193"/>
      <c r="BD230" s="193"/>
      <c r="BE230" s="193"/>
    </row>
    <row r="231" spans="1:57" x14ac:dyDescent="0.2">
      <c r="A231" s="279"/>
      <c r="B231" s="279"/>
      <c r="C231" s="275"/>
      <c r="D231" s="275"/>
      <c r="E231" s="193"/>
      <c r="F231" s="193"/>
      <c r="G231" s="193"/>
      <c r="H231" s="193"/>
      <c r="I231" s="193"/>
      <c r="J231" s="193"/>
      <c r="K231" s="193"/>
      <c r="L231" s="193"/>
      <c r="M231" s="193"/>
      <c r="N231" s="193"/>
      <c r="O231" s="193"/>
      <c r="P231" s="193"/>
      <c r="Q231" s="193"/>
      <c r="R231" s="193"/>
      <c r="S231" s="193"/>
      <c r="T231" s="193"/>
      <c r="U231" s="193"/>
      <c r="V231" s="193"/>
      <c r="W231" s="193"/>
      <c r="X231" s="193"/>
      <c r="Y231" s="193"/>
      <c r="Z231" s="193"/>
      <c r="AA231" s="193"/>
      <c r="AB231" s="193"/>
      <c r="AC231" s="193"/>
      <c r="AD231" s="193"/>
      <c r="AE231" s="193"/>
      <c r="AF231" s="193"/>
      <c r="AG231" s="193"/>
      <c r="AH231" s="193"/>
      <c r="AI231" s="193"/>
      <c r="AJ231" s="193"/>
      <c r="AK231" s="193"/>
      <c r="AL231" s="193"/>
      <c r="AM231" s="193"/>
      <c r="AN231" s="193"/>
      <c r="AO231" s="193"/>
      <c r="AP231" s="193"/>
      <c r="AQ231" s="193"/>
      <c r="AR231" s="193"/>
      <c r="AS231" s="193"/>
      <c r="AT231" s="193"/>
      <c r="AU231" s="193"/>
      <c r="AV231" s="193"/>
      <c r="AW231" s="193"/>
      <c r="AX231" s="193"/>
      <c r="AY231" s="193"/>
      <c r="AZ231" s="193"/>
      <c r="BA231" s="193"/>
      <c r="BB231" s="193"/>
      <c r="BC231" s="193"/>
      <c r="BD231" s="193"/>
      <c r="BE231" s="193"/>
    </row>
    <row r="232" spans="1:57" x14ac:dyDescent="0.2">
      <c r="A232" s="279"/>
      <c r="B232" s="279"/>
      <c r="C232" s="275"/>
      <c r="D232" s="275"/>
      <c r="E232" s="193"/>
      <c r="F232" s="193"/>
      <c r="G232" s="193"/>
      <c r="H232" s="193"/>
      <c r="I232" s="193"/>
      <c r="J232" s="193"/>
      <c r="K232" s="193"/>
      <c r="L232" s="193"/>
      <c r="M232" s="193"/>
      <c r="N232" s="193"/>
      <c r="O232" s="193"/>
      <c r="P232" s="193"/>
      <c r="Q232" s="193"/>
      <c r="R232" s="193"/>
      <c r="S232" s="193"/>
      <c r="T232" s="193"/>
      <c r="U232" s="193"/>
      <c r="V232" s="193"/>
      <c r="W232" s="193"/>
      <c r="X232" s="193"/>
      <c r="Y232" s="193"/>
      <c r="Z232" s="193"/>
      <c r="AA232" s="193"/>
      <c r="AB232" s="193"/>
      <c r="AC232" s="193"/>
      <c r="AD232" s="193"/>
      <c r="AE232" s="193"/>
      <c r="AF232" s="193"/>
      <c r="AG232" s="193"/>
      <c r="AH232" s="193"/>
      <c r="AI232" s="193"/>
      <c r="AJ232" s="193"/>
      <c r="AK232" s="193"/>
      <c r="AL232" s="193"/>
      <c r="AM232" s="193"/>
      <c r="AN232" s="193"/>
      <c r="AO232" s="193"/>
      <c r="AP232" s="193"/>
      <c r="AQ232" s="193"/>
      <c r="AR232" s="193"/>
      <c r="AS232" s="193"/>
      <c r="AT232" s="193"/>
      <c r="AU232" s="193"/>
      <c r="AV232" s="193"/>
      <c r="AW232" s="193"/>
      <c r="AX232" s="193"/>
      <c r="AY232" s="193"/>
      <c r="AZ232" s="193"/>
      <c r="BA232" s="193"/>
      <c r="BB232" s="193"/>
      <c r="BC232" s="193"/>
      <c r="BD232" s="193"/>
      <c r="BE232" s="193"/>
    </row>
    <row r="233" spans="1:57" x14ac:dyDescent="0.2">
      <c r="A233" s="279"/>
      <c r="B233" s="279"/>
      <c r="C233" s="275"/>
      <c r="D233" s="275"/>
      <c r="E233" s="193"/>
      <c r="F233" s="193"/>
      <c r="G233" s="193"/>
      <c r="H233" s="193"/>
      <c r="I233" s="193"/>
      <c r="J233" s="193"/>
      <c r="K233" s="193"/>
      <c r="L233" s="193"/>
      <c r="M233" s="193"/>
      <c r="N233" s="193"/>
      <c r="O233" s="193"/>
      <c r="P233" s="193"/>
      <c r="Q233" s="193"/>
      <c r="R233" s="193"/>
      <c r="S233" s="193"/>
      <c r="T233" s="193"/>
      <c r="U233" s="193"/>
      <c r="V233" s="193"/>
      <c r="W233" s="193"/>
      <c r="X233" s="193"/>
      <c r="Y233" s="193"/>
      <c r="Z233" s="193"/>
      <c r="AA233" s="193"/>
      <c r="AB233" s="193"/>
      <c r="AC233" s="193"/>
      <c r="AD233" s="193"/>
      <c r="AE233" s="193"/>
      <c r="AF233" s="193"/>
      <c r="AG233" s="193"/>
      <c r="AH233" s="193"/>
      <c r="AI233" s="193"/>
      <c r="AJ233" s="193"/>
      <c r="AK233" s="193"/>
      <c r="AL233" s="193"/>
      <c r="AM233" s="193"/>
      <c r="AN233" s="193"/>
      <c r="AO233" s="193"/>
      <c r="AP233" s="193"/>
      <c r="AQ233" s="193"/>
      <c r="AR233" s="193"/>
      <c r="AS233" s="193"/>
      <c r="AT233" s="193"/>
      <c r="AU233" s="193"/>
      <c r="AV233" s="193"/>
      <c r="AW233" s="193"/>
      <c r="AX233" s="193"/>
      <c r="AY233" s="193"/>
      <c r="AZ233" s="193"/>
      <c r="BA233" s="193"/>
      <c r="BB233" s="193"/>
      <c r="BC233" s="193"/>
      <c r="BD233" s="193"/>
      <c r="BE233" s="193"/>
    </row>
    <row r="234" spans="1:57" x14ac:dyDescent="0.2">
      <c r="A234" s="279"/>
      <c r="B234" s="279"/>
      <c r="C234" s="275"/>
      <c r="D234" s="275"/>
      <c r="E234" s="193"/>
      <c r="F234" s="193"/>
      <c r="G234" s="193"/>
      <c r="H234" s="193"/>
      <c r="I234" s="193"/>
      <c r="J234" s="193"/>
      <c r="K234" s="193"/>
      <c r="L234" s="193"/>
      <c r="M234" s="193"/>
      <c r="N234" s="193"/>
      <c r="O234" s="193"/>
      <c r="P234" s="193"/>
      <c r="Q234" s="193"/>
      <c r="R234" s="193"/>
      <c r="S234" s="193"/>
      <c r="T234" s="193"/>
      <c r="U234" s="193"/>
      <c r="V234" s="193"/>
      <c r="W234" s="193"/>
      <c r="X234" s="193"/>
      <c r="Y234" s="193"/>
      <c r="Z234" s="193"/>
      <c r="AA234" s="193"/>
      <c r="AB234" s="193"/>
      <c r="AC234" s="193"/>
      <c r="AD234" s="193"/>
      <c r="AE234" s="193"/>
      <c r="AF234" s="193"/>
      <c r="AG234" s="193"/>
      <c r="AH234" s="193"/>
      <c r="AI234" s="193"/>
      <c r="AJ234" s="193"/>
      <c r="AK234" s="193"/>
      <c r="AL234" s="193"/>
      <c r="AM234" s="193"/>
      <c r="AN234" s="193"/>
      <c r="AO234" s="193"/>
      <c r="AP234" s="193"/>
      <c r="AQ234" s="193"/>
      <c r="AR234" s="193"/>
      <c r="AS234" s="193"/>
      <c r="AT234" s="193"/>
      <c r="AU234" s="193"/>
      <c r="AV234" s="193"/>
      <c r="AW234" s="193"/>
      <c r="AX234" s="193"/>
      <c r="AY234" s="193"/>
      <c r="AZ234" s="193"/>
      <c r="BA234" s="193"/>
      <c r="BB234" s="193"/>
      <c r="BC234" s="193"/>
      <c r="BD234" s="193"/>
      <c r="BE234" s="193"/>
    </row>
    <row r="235" spans="1:57" x14ac:dyDescent="0.2">
      <c r="A235" s="279"/>
      <c r="B235" s="279"/>
      <c r="C235" s="275"/>
      <c r="D235" s="275"/>
      <c r="E235" s="193"/>
      <c r="F235" s="193"/>
      <c r="G235" s="193"/>
      <c r="H235" s="193"/>
      <c r="I235" s="193"/>
      <c r="J235" s="193"/>
      <c r="K235" s="193"/>
      <c r="L235" s="193"/>
      <c r="M235" s="193"/>
      <c r="N235" s="193"/>
      <c r="O235" s="193"/>
      <c r="P235" s="193"/>
      <c r="Q235" s="193"/>
      <c r="R235" s="193"/>
      <c r="S235" s="193"/>
      <c r="T235" s="193"/>
      <c r="U235" s="193"/>
      <c r="V235" s="193"/>
      <c r="W235" s="193"/>
      <c r="X235" s="193"/>
      <c r="Y235" s="193"/>
      <c r="Z235" s="193"/>
      <c r="AA235" s="193"/>
      <c r="AB235" s="193"/>
      <c r="AC235" s="193"/>
      <c r="AD235" s="193"/>
      <c r="AE235" s="193"/>
      <c r="AF235" s="193"/>
      <c r="AG235" s="193"/>
      <c r="AH235" s="193"/>
      <c r="AI235" s="193"/>
      <c r="AJ235" s="193"/>
      <c r="AK235" s="193"/>
      <c r="AL235" s="193"/>
      <c r="AM235" s="193"/>
      <c r="AN235" s="193"/>
      <c r="AO235" s="193"/>
      <c r="AP235" s="193"/>
      <c r="AQ235" s="193"/>
      <c r="AR235" s="193"/>
      <c r="AS235" s="193"/>
      <c r="AT235" s="193"/>
      <c r="AU235" s="193"/>
      <c r="AV235" s="193"/>
      <c r="AW235" s="193"/>
      <c r="AX235" s="193"/>
      <c r="AY235" s="193"/>
      <c r="AZ235" s="193"/>
      <c r="BA235" s="193"/>
      <c r="BB235" s="193"/>
      <c r="BC235" s="193"/>
      <c r="BD235" s="193"/>
      <c r="BE235" s="193"/>
    </row>
  </sheetData>
  <autoFilter ref="A49:BG79" xr:uid="{BF2FB4FF-1E1B-4763-8454-C32110E51100}"/>
  <mergeCells count="33">
    <mergeCell ref="G39:H43"/>
    <mergeCell ref="I39:L40"/>
    <mergeCell ref="U2:U3"/>
    <mergeCell ref="V2:V3"/>
    <mergeCell ref="W2:AH2"/>
    <mergeCell ref="O2:O3"/>
    <mergeCell ref="P2:P3"/>
    <mergeCell ref="Q2:Q3"/>
    <mergeCell ref="R2:R3"/>
    <mergeCell ref="S2:S3"/>
    <mergeCell ref="N2:N3"/>
    <mergeCell ref="AZ2:AZ3"/>
    <mergeCell ref="BA2:BA3"/>
    <mergeCell ref="BB2:BB3"/>
    <mergeCell ref="B38:C38"/>
    <mergeCell ref="AI2:AJ2"/>
    <mergeCell ref="AV2:AW2"/>
    <mergeCell ref="AK2:AU2"/>
    <mergeCell ref="A1:BA1"/>
    <mergeCell ref="A2:A3"/>
    <mergeCell ref="B2:B3"/>
    <mergeCell ref="C2:C3"/>
    <mergeCell ref="D2:D3"/>
    <mergeCell ref="E2:E3"/>
    <mergeCell ref="F2:F3"/>
    <mergeCell ref="G2:G3"/>
    <mergeCell ref="H2:H3"/>
    <mergeCell ref="I2:I3"/>
    <mergeCell ref="T2:T3"/>
    <mergeCell ref="J2:J3"/>
    <mergeCell ref="K2:K3"/>
    <mergeCell ref="L2:L3"/>
    <mergeCell ref="M2:M3"/>
  </mergeCells>
  <pageMargins left="0.7" right="0.7" top="0.75" bottom="0.75" header="0.3" footer="0.3"/>
  <pageSetup orientation="portrai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3AA905-414F-4F6F-93FB-1B2ADF33ED37}">
  <sheetPr codeName="Hoja14">
    <tabColor rgb="FFFFFF00"/>
  </sheetPr>
  <dimension ref="A1:P258"/>
  <sheetViews>
    <sheetView topLeftCell="C115" workbookViewId="0">
      <selection activeCell="I89" sqref="I89"/>
    </sheetView>
  </sheetViews>
  <sheetFormatPr baseColWidth="10" defaultColWidth="11.453125" defaultRowHeight="13.5" x14ac:dyDescent="0.3"/>
  <cols>
    <col min="1" max="1" width="37.7265625" style="1" customWidth="1"/>
    <col min="2" max="2" width="15.26953125" style="1" customWidth="1"/>
    <col min="3" max="3" width="15.7265625" style="1" customWidth="1"/>
    <col min="4" max="4" width="14" style="1" bestFit="1" customWidth="1"/>
    <col min="5" max="5" width="15.453125" style="1" bestFit="1" customWidth="1"/>
    <col min="6" max="6" width="41.453125" style="1" bestFit="1" customWidth="1"/>
    <col min="7" max="7" width="12.7265625" style="1" customWidth="1"/>
    <col min="8" max="8" width="15.1796875" style="1" customWidth="1"/>
    <col min="9" max="9" width="15.453125" style="1" customWidth="1"/>
    <col min="10" max="10" width="13.453125" style="1" customWidth="1"/>
    <col min="11" max="11" width="11.453125" style="1"/>
    <col min="12" max="12" width="13.453125" style="1" bestFit="1" customWidth="1"/>
    <col min="13" max="16384" width="11.453125" style="1"/>
  </cols>
  <sheetData>
    <row r="1" spans="1:14" ht="17" x14ac:dyDescent="0.3">
      <c r="A1" s="549" t="s">
        <v>1109</v>
      </c>
      <c r="B1" s="549"/>
      <c r="C1" s="549"/>
      <c r="D1" s="549"/>
      <c r="E1" s="549"/>
      <c r="F1" s="549"/>
      <c r="G1" s="549"/>
      <c r="H1" s="549"/>
      <c r="I1" s="549"/>
      <c r="J1" s="549"/>
    </row>
    <row r="2" spans="1:14" ht="17" x14ac:dyDescent="0.35">
      <c r="A2" s="550" t="s">
        <v>1110</v>
      </c>
      <c r="B2" s="550"/>
      <c r="C2" s="550"/>
      <c r="D2" s="550"/>
      <c r="E2" s="550"/>
      <c r="F2" s="550"/>
      <c r="G2" s="550"/>
      <c r="H2" s="550"/>
      <c r="I2" s="550"/>
      <c r="J2" s="550"/>
    </row>
    <row r="3" spans="1:14" ht="17" x14ac:dyDescent="0.35">
      <c r="A3" s="550" t="e">
        <f>+#REF!</f>
        <v>#REF!</v>
      </c>
      <c r="B3" s="550"/>
      <c r="C3" s="550"/>
      <c r="D3" s="550"/>
      <c r="E3" s="550"/>
      <c r="F3" s="550"/>
      <c r="G3" s="550"/>
      <c r="H3" s="550"/>
      <c r="I3" s="550"/>
      <c r="J3" s="550"/>
    </row>
    <row r="4" spans="1:14" ht="14" thickBot="1" x14ac:dyDescent="0.35">
      <c r="A4" s="18"/>
      <c r="B4" s="19"/>
      <c r="C4" s="20"/>
      <c r="D4" s="20"/>
      <c r="E4" s="20"/>
      <c r="F4" s="21"/>
      <c r="G4" s="19"/>
      <c r="H4" s="20"/>
      <c r="I4" s="20"/>
      <c r="J4" s="22"/>
    </row>
    <row r="5" spans="1:14" s="31" customFormat="1" x14ac:dyDescent="0.3">
      <c r="A5" s="27" t="e">
        <f>+#REF!</f>
        <v>#REF!</v>
      </c>
      <c r="B5" s="28"/>
      <c r="C5" s="29"/>
      <c r="D5" s="29"/>
      <c r="E5" s="30"/>
      <c r="F5" s="56" t="s">
        <v>1111</v>
      </c>
      <c r="G5" s="57"/>
      <c r="H5" s="58"/>
      <c r="I5" s="29"/>
      <c r="J5" s="30"/>
      <c r="M5" s="103"/>
      <c r="N5" s="31" t="s">
        <v>1112</v>
      </c>
    </row>
    <row r="6" spans="1:14" s="31" customFormat="1" x14ac:dyDescent="0.3">
      <c r="A6" s="32" t="s">
        <v>1113</v>
      </c>
      <c r="B6" s="33"/>
      <c r="E6" s="34"/>
      <c r="F6" s="32" t="s">
        <v>1114</v>
      </c>
      <c r="G6" s="59"/>
      <c r="J6" s="34"/>
    </row>
    <row r="7" spans="1:14" s="31" customFormat="1" x14ac:dyDescent="0.3">
      <c r="A7" s="35"/>
      <c r="B7" s="36"/>
      <c r="C7" s="36"/>
      <c r="E7" s="34"/>
      <c r="F7" s="35"/>
      <c r="G7" s="36"/>
      <c r="H7" s="36"/>
      <c r="J7" s="34"/>
    </row>
    <row r="8" spans="1:14" s="31" customFormat="1" x14ac:dyDescent="0.3">
      <c r="A8" s="35" t="s">
        <v>1115</v>
      </c>
      <c r="B8" s="37"/>
      <c r="C8" s="38" t="e">
        <f>+#REF!</f>
        <v>#REF!</v>
      </c>
      <c r="E8" s="34"/>
      <c r="F8" s="35" t="s">
        <v>1115</v>
      </c>
      <c r="G8" s="37"/>
      <c r="H8" s="38" t="e">
        <f>+#REF!</f>
        <v>#REF!</v>
      </c>
      <c r="J8" s="34"/>
    </row>
    <row r="9" spans="1:14" s="31" customFormat="1" x14ac:dyDescent="0.3">
      <c r="A9" s="35" t="s">
        <v>1116</v>
      </c>
      <c r="B9" s="37"/>
      <c r="C9" s="38">
        <v>0</v>
      </c>
      <c r="E9" s="34"/>
      <c r="F9" s="35" t="s">
        <v>1116</v>
      </c>
      <c r="G9" s="37"/>
      <c r="H9" s="38">
        <v>0</v>
      </c>
      <c r="J9" s="34"/>
    </row>
    <row r="10" spans="1:14" s="31" customFormat="1" x14ac:dyDescent="0.3">
      <c r="A10" s="32" t="s">
        <v>1117</v>
      </c>
      <c r="B10" s="33">
        <f>SUM(B8:B9)</f>
        <v>0</v>
      </c>
      <c r="C10" s="33" t="e">
        <f>+C8-C9</f>
        <v>#REF!</v>
      </c>
      <c r="E10" s="34"/>
      <c r="F10" s="32" t="s">
        <v>1117</v>
      </c>
      <c r="G10" s="33">
        <f>SUM(G8:G9)</f>
        <v>0</v>
      </c>
      <c r="H10" s="33" t="e">
        <f>+H8-H9</f>
        <v>#REF!</v>
      </c>
      <c r="J10" s="34"/>
    </row>
    <row r="11" spans="1:14" s="31" customFormat="1" x14ac:dyDescent="0.3">
      <c r="A11" s="35" t="s">
        <v>1118</v>
      </c>
      <c r="B11" s="37"/>
      <c r="C11" s="38" t="e">
        <f>+#REF!</f>
        <v>#REF!</v>
      </c>
      <c r="D11" s="42" t="e">
        <f>944800-C11</f>
        <v>#REF!</v>
      </c>
      <c r="E11" s="34"/>
      <c r="F11" s="35" t="s">
        <v>1118</v>
      </c>
      <c r="G11" s="37"/>
      <c r="H11" s="38" t="e">
        <f>+#REF!</f>
        <v>#REF!</v>
      </c>
      <c r="J11" s="34"/>
    </row>
    <row r="12" spans="1:14" s="31" customFormat="1" x14ac:dyDescent="0.3">
      <c r="A12" s="35" t="s">
        <v>1119</v>
      </c>
      <c r="B12" s="37"/>
      <c r="C12" s="38" t="e">
        <f>+#REF!</f>
        <v>#REF!</v>
      </c>
      <c r="D12" s="39"/>
      <c r="E12" s="34"/>
      <c r="F12" s="35" t="s">
        <v>1119</v>
      </c>
      <c r="G12" s="37"/>
      <c r="H12" s="38" t="e">
        <f>+#REF!</f>
        <v>#REF!</v>
      </c>
      <c r="J12" s="34"/>
    </row>
    <row r="13" spans="1:14" s="31" customFormat="1" x14ac:dyDescent="0.3">
      <c r="A13" s="35" t="s">
        <v>1120</v>
      </c>
      <c r="B13" s="37"/>
      <c r="C13" s="38">
        <v>0</v>
      </c>
      <c r="E13" s="34"/>
      <c r="F13" s="35" t="s">
        <v>1120</v>
      </c>
      <c r="G13" s="37"/>
      <c r="H13" s="38">
        <v>0</v>
      </c>
      <c r="J13" s="34"/>
    </row>
    <row r="14" spans="1:14" s="31" customFormat="1" x14ac:dyDescent="0.3">
      <c r="A14" s="32" t="s">
        <v>1121</v>
      </c>
      <c r="B14" s="33">
        <f>+B10-B11-B12-B13</f>
        <v>0</v>
      </c>
      <c r="C14" s="33" t="e">
        <f>+C10-C11-C12-C13</f>
        <v>#REF!</v>
      </c>
      <c r="E14" s="34"/>
      <c r="F14" s="32" t="s">
        <v>1121</v>
      </c>
      <c r="G14" s="33">
        <f>+G10-G11-G12-G13</f>
        <v>0</v>
      </c>
      <c r="H14" s="33" t="e">
        <f>+H10-H11-H12-H13</f>
        <v>#REF!</v>
      </c>
      <c r="J14" s="34"/>
    </row>
    <row r="15" spans="1:14" s="31" customFormat="1" x14ac:dyDescent="0.3">
      <c r="A15" s="40" t="s">
        <v>1122</v>
      </c>
      <c r="B15" s="37">
        <f>+B14*0.3</f>
        <v>0</v>
      </c>
      <c r="C15" s="37" t="e">
        <f>+C14*0.25</f>
        <v>#REF!</v>
      </c>
      <c r="D15" s="37"/>
      <c r="E15" s="34"/>
      <c r="F15" s="40" t="s">
        <v>1122</v>
      </c>
      <c r="G15" s="37">
        <f>+G14*0.3</f>
        <v>0</v>
      </c>
      <c r="H15" s="37" t="e">
        <f>+H14*0.25</f>
        <v>#REF!</v>
      </c>
      <c r="I15" s="37"/>
      <c r="J15" s="34"/>
    </row>
    <row r="16" spans="1:14" s="31" customFormat="1" x14ac:dyDescent="0.3">
      <c r="A16" s="40"/>
      <c r="B16" s="37">
        <f>+B14-B15</f>
        <v>0</v>
      </c>
      <c r="C16" s="37" t="e">
        <f>+C14-C15</f>
        <v>#REF!</v>
      </c>
      <c r="D16" s="37" t="e">
        <f>SUM(B16:C16)</f>
        <v>#REF!</v>
      </c>
      <c r="E16" s="34"/>
      <c r="F16" s="40"/>
      <c r="G16" s="37">
        <f>+G14-G15</f>
        <v>0</v>
      </c>
      <c r="H16" s="37" t="e">
        <f>+H14-H15</f>
        <v>#REF!</v>
      </c>
      <c r="I16" s="37" t="e">
        <f>SUM(G16:H16)</f>
        <v>#REF!</v>
      </c>
      <c r="J16" s="34"/>
    </row>
    <row r="17" spans="1:16" s="31" customFormat="1" x14ac:dyDescent="0.3">
      <c r="A17" s="32" t="s">
        <v>1123</v>
      </c>
      <c r="B17" s="33"/>
      <c r="C17" s="33"/>
      <c r="D17" s="33" t="e">
        <f>+D16/1</f>
        <v>#REF!</v>
      </c>
      <c r="E17" s="34" t="e">
        <f>+D17*0.15</f>
        <v>#REF!</v>
      </c>
      <c r="F17" s="32" t="s">
        <v>1123</v>
      </c>
      <c r="G17" s="33"/>
      <c r="H17" s="33"/>
      <c r="I17" s="33" t="e">
        <f>+I16/1</f>
        <v>#REF!</v>
      </c>
      <c r="J17" s="34"/>
    </row>
    <row r="18" spans="1:16" s="31" customFormat="1" x14ac:dyDescent="0.3">
      <c r="A18" s="35" t="s">
        <v>1124</v>
      </c>
      <c r="B18" s="37"/>
      <c r="C18" s="37">
        <v>352832</v>
      </c>
      <c r="D18" s="37">
        <f>352832+53891</f>
        <v>406723</v>
      </c>
      <c r="E18" s="90" t="s">
        <v>1125</v>
      </c>
      <c r="F18" s="35" t="s">
        <v>1126</v>
      </c>
      <c r="G18" s="37"/>
      <c r="H18" s="37"/>
      <c r="I18" s="37">
        <v>0</v>
      </c>
      <c r="J18" s="34"/>
      <c r="M18" s="31">
        <f>11187653/12</f>
        <v>932304.41666666663</v>
      </c>
    </row>
    <row r="19" spans="1:16" s="31" customFormat="1" x14ac:dyDescent="0.3">
      <c r="A19" s="35" t="s">
        <v>1127</v>
      </c>
      <c r="B19" s="37"/>
      <c r="C19" s="37"/>
      <c r="D19" s="37" t="e">
        <f>+#REF!</f>
        <v>#REF!</v>
      </c>
      <c r="E19" s="90"/>
      <c r="F19" s="35" t="s">
        <v>1127</v>
      </c>
      <c r="G19" s="37"/>
      <c r="H19" s="37"/>
      <c r="I19" s="37" t="e">
        <f>+#REF!</f>
        <v>#REF!</v>
      </c>
      <c r="J19" s="34"/>
    </row>
    <row r="20" spans="1:16" s="31" customFormat="1" x14ac:dyDescent="0.3">
      <c r="A20" s="32" t="s">
        <v>1128</v>
      </c>
      <c r="B20" s="33"/>
      <c r="C20" s="33"/>
      <c r="D20" s="33" t="e">
        <f>+D17-D18-D19</f>
        <v>#REF!</v>
      </c>
      <c r="E20" s="34"/>
      <c r="F20" s="32" t="s">
        <v>1128</v>
      </c>
      <c r="G20" s="33"/>
      <c r="H20" s="33"/>
      <c r="I20" s="33" t="e">
        <f>+I17-I18-I19</f>
        <v>#REF!</v>
      </c>
      <c r="J20" s="34"/>
      <c r="K20" s="42" t="e">
        <f>+#REF!-#REF!</f>
        <v>#REF!</v>
      </c>
    </row>
    <row r="21" spans="1:16" s="31" customFormat="1" x14ac:dyDescent="0.3">
      <c r="A21" s="32" t="s">
        <v>1129</v>
      </c>
      <c r="B21" s="41"/>
      <c r="C21" s="41"/>
      <c r="D21" s="41"/>
      <c r="E21" s="34"/>
      <c r="F21" s="32" t="s">
        <v>1129</v>
      </c>
      <c r="G21" s="41"/>
      <c r="H21" s="41"/>
      <c r="I21" s="41"/>
      <c r="J21" s="34"/>
      <c r="L21" s="42"/>
    </row>
    <row r="22" spans="1:16" s="31" customFormat="1" ht="14" thickBot="1" x14ac:dyDescent="0.35">
      <c r="A22" s="43"/>
      <c r="B22" s="44"/>
      <c r="C22" s="94"/>
      <c r="D22" s="44"/>
      <c r="E22" s="45"/>
      <c r="F22" s="43"/>
      <c r="G22" s="44"/>
      <c r="H22" s="44"/>
      <c r="I22" s="44"/>
      <c r="J22" s="45"/>
      <c r="L22" s="46"/>
    </row>
    <row r="23" spans="1:16" s="31" customFormat="1" ht="15" customHeight="1" x14ac:dyDescent="0.3">
      <c r="A23" s="32" t="s">
        <v>1128</v>
      </c>
      <c r="B23" s="33" t="e">
        <f>D20</f>
        <v>#REF!</v>
      </c>
      <c r="D23" s="47" t="s">
        <v>1130</v>
      </c>
      <c r="E23" s="48">
        <v>24555</v>
      </c>
      <c r="F23" s="32" t="s">
        <v>1128</v>
      </c>
      <c r="G23" s="33" t="e">
        <f>+I20</f>
        <v>#REF!</v>
      </c>
      <c r="I23" s="47" t="s">
        <v>1130</v>
      </c>
      <c r="J23" s="48">
        <v>24555</v>
      </c>
      <c r="L23" s="46"/>
    </row>
    <row r="24" spans="1:16" s="31" customFormat="1" ht="14" thickBot="1" x14ac:dyDescent="0.35">
      <c r="A24" s="32" t="s">
        <v>1131</v>
      </c>
      <c r="B24" s="46" t="e">
        <f>(+E24-150)*28/100+10</f>
        <v>#REF!</v>
      </c>
      <c r="C24" s="46" t="e">
        <f>+B24</f>
        <v>#REF!</v>
      </c>
      <c r="D24" s="46"/>
      <c r="E24" s="49" t="e">
        <f>ROUND(E25/E23,0)</f>
        <v>#REF!</v>
      </c>
      <c r="F24" s="32" t="s">
        <v>1132</v>
      </c>
      <c r="G24" s="46" t="e">
        <f>(+J25-95)*19/100</f>
        <v>#REF!</v>
      </c>
      <c r="H24" s="46" t="e">
        <f>+G24</f>
        <v>#REF!</v>
      </c>
      <c r="I24" s="46"/>
      <c r="J24" s="49" t="e">
        <f>+G23</f>
        <v>#REF!</v>
      </c>
    </row>
    <row r="25" spans="1:16" s="31" customFormat="1" ht="15.5" thickBot="1" x14ac:dyDescent="0.35">
      <c r="A25" s="50" t="s">
        <v>1133</v>
      </c>
      <c r="B25" s="121"/>
      <c r="C25" s="69" t="e">
        <f>IF(B24&gt;0,ROUND(B24*E23,-2),0)</f>
        <v>#REF!</v>
      </c>
      <c r="D25" s="51" t="e">
        <f>+C25</f>
        <v>#REF!</v>
      </c>
      <c r="E25" s="48" t="e">
        <f>+D20</f>
        <v>#REF!</v>
      </c>
      <c r="F25" s="50" t="s">
        <v>1133</v>
      </c>
      <c r="G25" s="121"/>
      <c r="H25" s="69" t="e">
        <f>IF(G24&gt;0,ROUND(G24*J23,-2),0)</f>
        <v>#REF!</v>
      </c>
      <c r="I25" s="51" t="e">
        <f>+H25</f>
        <v>#REF!</v>
      </c>
      <c r="J25" s="52" t="e">
        <f>ROUND(J24/J23,0)</f>
        <v>#REF!</v>
      </c>
      <c r="L25" s="66"/>
      <c r="P25" s="66"/>
    </row>
    <row r="26" spans="1:16" s="31" customFormat="1" ht="14" thickBot="1" x14ac:dyDescent="0.35">
      <c r="A26" s="123"/>
      <c r="B26" s="131" t="s">
        <v>1134</v>
      </c>
      <c r="C26" s="62" t="e">
        <f>ROUND(+D20*0.1109,-3)</f>
        <v>#REF!</v>
      </c>
      <c r="D26" s="93" t="e">
        <f>+D25-344000</f>
        <v>#REF!</v>
      </c>
      <c r="E26" s="55"/>
      <c r="F26" s="53"/>
      <c r="G26" s="131" t="s">
        <v>1134</v>
      </c>
      <c r="H26" s="93" t="e">
        <f>ROUND(+I20*0.0644,-3)</f>
        <v>#REF!</v>
      </c>
      <c r="I26" s="54"/>
      <c r="J26" s="55"/>
      <c r="L26" s="66" t="e">
        <f>+C26+#REF!</f>
        <v>#REF!</v>
      </c>
      <c r="N26" s="31">
        <f>(562.32-360)*0.33+69</f>
        <v>135.76560000000001</v>
      </c>
    </row>
    <row r="27" spans="1:16" x14ac:dyDescent="0.3">
      <c r="E27" s="4"/>
      <c r="F27" s="31"/>
      <c r="G27" s="134"/>
      <c r="H27" s="42"/>
      <c r="I27" s="31"/>
      <c r="J27" s="31"/>
    </row>
    <row r="28" spans="1:16" ht="14" thickBot="1" x14ac:dyDescent="0.35">
      <c r="C28" s="7"/>
      <c r="E28" s="4"/>
    </row>
    <row r="29" spans="1:16" x14ac:dyDescent="0.3">
      <c r="A29" s="56" t="s">
        <v>1135</v>
      </c>
      <c r="B29" s="57"/>
      <c r="C29" s="58"/>
      <c r="D29" s="29"/>
      <c r="E29" s="30"/>
      <c r="F29" s="27" t="e">
        <f>+#REF!</f>
        <v>#REF!</v>
      </c>
      <c r="G29" s="28"/>
      <c r="H29" s="29"/>
      <c r="I29" s="29"/>
      <c r="J29" s="30"/>
    </row>
    <row r="30" spans="1:16" x14ac:dyDescent="0.3">
      <c r="A30" s="32" t="s">
        <v>1114</v>
      </c>
      <c r="B30" s="33"/>
      <c r="C30" s="31"/>
      <c r="D30" s="31"/>
      <c r="E30" s="34"/>
      <c r="F30" s="32" t="s">
        <v>1113</v>
      </c>
      <c r="G30" s="33"/>
      <c r="H30" s="31"/>
      <c r="I30" s="31"/>
      <c r="J30" s="34"/>
    </row>
    <row r="31" spans="1:16" x14ac:dyDescent="0.3">
      <c r="A31" s="35"/>
      <c r="B31" s="36"/>
      <c r="C31" s="36"/>
      <c r="D31" s="31"/>
      <c r="E31" s="34"/>
      <c r="F31" s="35"/>
      <c r="G31" s="36"/>
      <c r="H31" s="36"/>
      <c r="I31" s="31"/>
      <c r="J31" s="34"/>
    </row>
    <row r="32" spans="1:16" x14ac:dyDescent="0.3">
      <c r="A32" s="35" t="s">
        <v>1115</v>
      </c>
      <c r="B32" s="37"/>
      <c r="C32" s="38" t="e">
        <f>+#REF!</f>
        <v>#REF!</v>
      </c>
      <c r="D32" s="31"/>
      <c r="E32" s="34"/>
      <c r="F32" s="35" t="s">
        <v>1115</v>
      </c>
      <c r="G32" s="37"/>
      <c r="H32" s="38" t="e">
        <f>+#REF!</f>
        <v>#REF!</v>
      </c>
      <c r="I32" s="31"/>
      <c r="J32" s="34"/>
    </row>
    <row r="33" spans="1:10" x14ac:dyDescent="0.3">
      <c r="A33" s="35" t="s">
        <v>1116</v>
      </c>
      <c r="B33" s="37"/>
      <c r="C33" s="38">
        <v>0</v>
      </c>
      <c r="D33" s="31"/>
      <c r="E33" s="34"/>
      <c r="F33" s="35" t="s">
        <v>1116</v>
      </c>
      <c r="G33" s="37"/>
      <c r="H33" s="38">
        <v>0</v>
      </c>
      <c r="I33" s="31"/>
      <c r="J33" s="34"/>
    </row>
    <row r="34" spans="1:10" x14ac:dyDescent="0.3">
      <c r="A34" s="32" t="s">
        <v>1117</v>
      </c>
      <c r="B34" s="33">
        <f>SUM(B32:B33)</f>
        <v>0</v>
      </c>
      <c r="C34" s="33" t="e">
        <f>+C32-C33</f>
        <v>#REF!</v>
      </c>
      <c r="D34" s="31"/>
      <c r="E34" s="34"/>
      <c r="F34" s="32" t="s">
        <v>1117</v>
      </c>
      <c r="G34" s="33">
        <f>SUM(G32:G33)</f>
        <v>0</v>
      </c>
      <c r="H34" s="33" t="e">
        <f>+H32-H33</f>
        <v>#REF!</v>
      </c>
      <c r="I34" s="31"/>
      <c r="J34" s="34"/>
    </row>
    <row r="35" spans="1:10" x14ac:dyDescent="0.3">
      <c r="A35" s="35" t="s">
        <v>1118</v>
      </c>
      <c r="B35" s="37"/>
      <c r="C35" s="38" t="e">
        <f>+#REF!</f>
        <v>#REF!</v>
      </c>
      <c r="D35" s="31"/>
      <c r="E35" s="34"/>
      <c r="F35" s="35" t="s">
        <v>1118</v>
      </c>
      <c r="G35" s="37"/>
      <c r="H35" s="38" t="e">
        <f>+#REF!</f>
        <v>#REF!</v>
      </c>
      <c r="I35" s="31"/>
      <c r="J35" s="34"/>
    </row>
    <row r="36" spans="1:10" x14ac:dyDescent="0.3">
      <c r="A36" s="35" t="s">
        <v>1119</v>
      </c>
      <c r="B36" s="37"/>
      <c r="C36" s="38" t="e">
        <f>+#REF!</f>
        <v>#REF!</v>
      </c>
      <c r="D36" s="31"/>
      <c r="E36" s="34"/>
      <c r="F36" s="35" t="s">
        <v>1119</v>
      </c>
      <c r="G36" s="37"/>
      <c r="H36" s="38" t="e">
        <f>+#REF!</f>
        <v>#REF!</v>
      </c>
      <c r="I36" s="31"/>
      <c r="J36" s="34"/>
    </row>
    <row r="37" spans="1:10" x14ac:dyDescent="0.3">
      <c r="A37" s="35" t="s">
        <v>1120</v>
      </c>
      <c r="B37" s="37"/>
      <c r="C37" s="38">
        <v>0</v>
      </c>
      <c r="D37" s="31"/>
      <c r="E37" s="34"/>
      <c r="F37" s="35" t="s">
        <v>1120</v>
      </c>
      <c r="G37" s="37"/>
      <c r="H37" s="38">
        <v>0</v>
      </c>
      <c r="I37" s="31"/>
      <c r="J37" s="34"/>
    </row>
    <row r="38" spans="1:10" x14ac:dyDescent="0.3">
      <c r="A38" s="32" t="s">
        <v>1121</v>
      </c>
      <c r="B38" s="33">
        <f>+B34-B35-B36-B37</f>
        <v>0</v>
      </c>
      <c r="C38" s="33" t="e">
        <f>+C34-C35-C36-C37</f>
        <v>#REF!</v>
      </c>
      <c r="D38" s="31"/>
      <c r="E38" s="34"/>
      <c r="F38" s="32" t="s">
        <v>1121</v>
      </c>
      <c r="G38" s="33">
        <f>+G34-G35-G36-G37</f>
        <v>0</v>
      </c>
      <c r="H38" s="33" t="e">
        <f>+H34-H35-H36-H37</f>
        <v>#REF!</v>
      </c>
      <c r="I38" s="31"/>
      <c r="J38" s="34"/>
    </row>
    <row r="39" spans="1:10" x14ac:dyDescent="0.3">
      <c r="A39" s="40" t="s">
        <v>1122</v>
      </c>
      <c r="B39" s="37">
        <f>+B38*0.3</f>
        <v>0</v>
      </c>
      <c r="C39" s="37" t="e">
        <f>+C38*0.25</f>
        <v>#REF!</v>
      </c>
      <c r="D39" s="37"/>
      <c r="E39" s="34"/>
      <c r="F39" s="40" t="s">
        <v>1122</v>
      </c>
      <c r="G39" s="37">
        <f>+G38*0.3</f>
        <v>0</v>
      </c>
      <c r="H39" s="37" t="e">
        <f>+H38*0.25</f>
        <v>#REF!</v>
      </c>
      <c r="I39" s="37"/>
      <c r="J39" s="34"/>
    </row>
    <row r="40" spans="1:10" x14ac:dyDescent="0.3">
      <c r="A40" s="40"/>
      <c r="B40" s="37">
        <f>+B38-B39</f>
        <v>0</v>
      </c>
      <c r="C40" s="37" t="e">
        <f>+C38-C39</f>
        <v>#REF!</v>
      </c>
      <c r="D40" s="37" t="e">
        <f>SUM(B40:C40)</f>
        <v>#REF!</v>
      </c>
      <c r="E40" s="34"/>
      <c r="F40" s="40"/>
      <c r="G40" s="37">
        <f>+G38-G39</f>
        <v>0</v>
      </c>
      <c r="H40" s="37" t="e">
        <f>+H38-H39</f>
        <v>#REF!</v>
      </c>
      <c r="I40" s="37" t="e">
        <f>SUM(G40:H40)</f>
        <v>#REF!</v>
      </c>
      <c r="J40" s="34"/>
    </row>
    <row r="41" spans="1:10" x14ac:dyDescent="0.3">
      <c r="A41" s="32" t="s">
        <v>1123</v>
      </c>
      <c r="B41" s="33"/>
      <c r="C41" s="33"/>
      <c r="D41" s="33" t="e">
        <f>+D40/1</f>
        <v>#REF!</v>
      </c>
      <c r="E41" s="34" t="e">
        <f>+D41*0.15</f>
        <v>#REF!</v>
      </c>
      <c r="F41" s="32" t="s">
        <v>1123</v>
      </c>
      <c r="G41" s="33"/>
      <c r="H41" s="33"/>
      <c r="I41" s="33" t="e">
        <f>+I40/1</f>
        <v>#REF!</v>
      </c>
      <c r="J41" s="91" t="e">
        <f>+I41*0.15</f>
        <v>#REF!</v>
      </c>
    </row>
    <row r="42" spans="1:10" x14ac:dyDescent="0.3">
      <c r="A42" s="35" t="s">
        <v>1124</v>
      </c>
      <c r="B42" s="130"/>
      <c r="C42" s="130">
        <f>+B42/12</f>
        <v>0</v>
      </c>
      <c r="D42" s="37">
        <v>511250</v>
      </c>
      <c r="E42" s="90" t="s">
        <v>1125</v>
      </c>
      <c r="F42" s="35" t="s">
        <v>1126</v>
      </c>
      <c r="G42" s="37"/>
      <c r="H42" s="37"/>
      <c r="I42" s="37">
        <v>0</v>
      </c>
      <c r="J42" s="34"/>
    </row>
    <row r="43" spans="1:10" x14ac:dyDescent="0.3">
      <c r="A43" s="35" t="s">
        <v>1127</v>
      </c>
      <c r="B43" s="37"/>
      <c r="C43" s="37"/>
      <c r="D43" s="37" t="e">
        <f>+#REF!</f>
        <v>#REF!</v>
      </c>
      <c r="E43" s="130"/>
      <c r="F43" s="35" t="s">
        <v>1127</v>
      </c>
      <c r="G43" s="37"/>
      <c r="H43" s="37"/>
      <c r="I43" s="37" t="e">
        <f>+#REF!</f>
        <v>#REF!</v>
      </c>
      <c r="J43" s="34"/>
    </row>
    <row r="44" spans="1:10" x14ac:dyDescent="0.3">
      <c r="A44" s="32" t="s">
        <v>1128</v>
      </c>
      <c r="B44" s="33"/>
      <c r="C44" s="33"/>
      <c r="D44" s="33" t="e">
        <f>+D41-D42-D43</f>
        <v>#REF!</v>
      </c>
      <c r="E44" s="34"/>
      <c r="F44" s="32" t="s">
        <v>1128</v>
      </c>
      <c r="G44" s="33"/>
      <c r="H44" s="33"/>
      <c r="I44" s="33" t="e">
        <f>+I41-I42-I43</f>
        <v>#REF!</v>
      </c>
      <c r="J44" s="34"/>
    </row>
    <row r="45" spans="1:10" x14ac:dyDescent="0.3">
      <c r="A45" s="32" t="s">
        <v>1129</v>
      </c>
      <c r="B45" s="41"/>
      <c r="C45" s="41"/>
      <c r="D45" s="41"/>
      <c r="E45" s="34"/>
      <c r="F45" s="32" t="s">
        <v>1129</v>
      </c>
      <c r="G45" s="41"/>
      <c r="H45" s="41"/>
      <c r="I45" s="41"/>
      <c r="J45" s="34"/>
    </row>
    <row r="46" spans="1:10" ht="14" thickBot="1" x14ac:dyDescent="0.35">
      <c r="A46" s="43"/>
      <c r="B46" s="44"/>
      <c r="C46" s="44"/>
      <c r="D46" s="44"/>
      <c r="E46" s="45"/>
      <c r="F46" s="43"/>
      <c r="G46" s="44"/>
      <c r="H46" s="44"/>
      <c r="I46" s="44"/>
      <c r="J46" s="45"/>
    </row>
    <row r="47" spans="1:10" ht="14" thickBot="1" x14ac:dyDescent="0.35">
      <c r="A47" s="32" t="s">
        <v>1128</v>
      </c>
      <c r="B47" s="33" t="e">
        <f>+D44</f>
        <v>#REF!</v>
      </c>
      <c r="C47" s="31"/>
      <c r="D47" s="47" t="s">
        <v>1130</v>
      </c>
      <c r="E47" s="48">
        <v>24555</v>
      </c>
      <c r="F47" s="43"/>
      <c r="G47" s="44"/>
      <c r="H47" s="44"/>
      <c r="I47" s="44"/>
      <c r="J47" s="45"/>
    </row>
    <row r="48" spans="1:10" ht="14" thickBot="1" x14ac:dyDescent="0.35">
      <c r="A48" s="32" t="s">
        <v>1136</v>
      </c>
      <c r="B48" s="46" t="e">
        <f>(+E49-95)*19/100</f>
        <v>#REF!</v>
      </c>
      <c r="C48" s="60" t="e">
        <f>+B48</f>
        <v>#REF!</v>
      </c>
      <c r="D48" s="46"/>
      <c r="E48" s="49" t="e">
        <f>+D44</f>
        <v>#REF!</v>
      </c>
      <c r="F48" s="32" t="s">
        <v>1128</v>
      </c>
      <c r="G48" s="33">
        <f>I45</f>
        <v>0</v>
      </c>
      <c r="H48" s="31"/>
      <c r="I48" s="132" t="s">
        <v>1137</v>
      </c>
      <c r="J48" s="48">
        <v>24555</v>
      </c>
    </row>
    <row r="49" spans="1:12" ht="15.5" thickBot="1" x14ac:dyDescent="0.35">
      <c r="A49" s="50" t="s">
        <v>1138</v>
      </c>
      <c r="B49" s="42">
        <v>24555</v>
      </c>
      <c r="C49" s="61" t="e">
        <f>IF(C48&gt;0,ROUND(B49*C48,-2),0)</f>
        <v>#REF!</v>
      </c>
      <c r="D49" s="51" t="e">
        <f>+C49</f>
        <v>#REF!</v>
      </c>
      <c r="E49" s="52" t="e">
        <f>ROUND(E48/E47,0)</f>
        <v>#REF!</v>
      </c>
      <c r="F49" s="32" t="s">
        <v>1139</v>
      </c>
      <c r="G49" s="46" t="e">
        <f>(+J50-150)*0.28+10</f>
        <v>#REF!</v>
      </c>
      <c r="H49" s="46"/>
      <c r="I49" s="46"/>
      <c r="J49" s="49" t="e">
        <f>+I44</f>
        <v>#REF!</v>
      </c>
      <c r="L49" s="6"/>
    </row>
    <row r="50" spans="1:12" ht="15.5" thickBot="1" x14ac:dyDescent="0.35">
      <c r="A50" s="53"/>
      <c r="B50" s="131" t="s">
        <v>1134</v>
      </c>
      <c r="C50" s="93" t="e">
        <f>ROUND(+D44*0.0303,-3)</f>
        <v>#REF!</v>
      </c>
      <c r="D50" s="54"/>
      <c r="E50" s="55"/>
      <c r="F50" s="50" t="s">
        <v>1133</v>
      </c>
      <c r="G50" s="42"/>
      <c r="H50" s="69" t="e">
        <f>IF(G49&gt;0,ROUND(G49*J48,-2),0)</f>
        <v>#REF!</v>
      </c>
      <c r="I50" s="51" t="e">
        <f>+H50</f>
        <v>#REF!</v>
      </c>
      <c r="J50" s="52" t="e">
        <f>ROUND(J49/J48,0)</f>
        <v>#REF!</v>
      </c>
      <c r="L50" s="6" t="e">
        <f>+C50+H26</f>
        <v>#REF!</v>
      </c>
    </row>
    <row r="51" spans="1:12" ht="14" thickBot="1" x14ac:dyDescent="0.35">
      <c r="C51" s="6"/>
      <c r="F51" s="53"/>
      <c r="G51" s="131" t="s">
        <v>1134</v>
      </c>
      <c r="H51" s="62" t="e">
        <f>ROUND(+I44*0.0869,-3)</f>
        <v>#REF!</v>
      </c>
      <c r="I51" s="54"/>
      <c r="J51" s="55"/>
    </row>
    <row r="52" spans="1:12" x14ac:dyDescent="0.3">
      <c r="A52" s="27" t="e">
        <f>+#REF!</f>
        <v>#REF!</v>
      </c>
      <c r="B52" s="28"/>
      <c r="C52" s="29"/>
      <c r="D52" s="29"/>
      <c r="E52" s="30"/>
      <c r="F52" s="97" t="s">
        <v>1140</v>
      </c>
      <c r="G52" s="98"/>
      <c r="H52" s="99"/>
      <c r="I52" s="99"/>
      <c r="J52" s="100"/>
    </row>
    <row r="53" spans="1:12" x14ac:dyDescent="0.3">
      <c r="A53" s="32" t="s">
        <v>1113</v>
      </c>
      <c r="B53" s="33"/>
      <c r="C53" s="31"/>
      <c r="D53" s="31"/>
      <c r="E53" s="34"/>
      <c r="F53" s="101" t="s">
        <v>1114</v>
      </c>
      <c r="G53" s="102"/>
      <c r="H53" s="103"/>
      <c r="I53" s="103"/>
      <c r="J53" s="104"/>
    </row>
    <row r="54" spans="1:12" x14ac:dyDescent="0.3">
      <c r="A54" s="35"/>
      <c r="B54" s="36"/>
      <c r="C54" s="36"/>
      <c r="D54" s="31"/>
      <c r="E54" s="34"/>
      <c r="F54" s="105"/>
      <c r="G54" s="106"/>
      <c r="H54" s="106"/>
      <c r="I54" s="103"/>
      <c r="J54" s="104"/>
    </row>
    <row r="55" spans="1:12" x14ac:dyDescent="0.3">
      <c r="A55" s="35" t="s">
        <v>1115</v>
      </c>
      <c r="B55" s="37"/>
      <c r="C55" s="38" t="e">
        <f>+#REF!</f>
        <v>#REF!</v>
      </c>
      <c r="D55" s="31"/>
      <c r="E55" s="34"/>
      <c r="F55" s="105" t="s">
        <v>1115</v>
      </c>
      <c r="G55" s="107"/>
      <c r="H55" s="108">
        <v>28231290</v>
      </c>
      <c r="I55" s="103"/>
      <c r="J55" s="104"/>
    </row>
    <row r="56" spans="1:12" x14ac:dyDescent="0.3">
      <c r="A56" s="35" t="s">
        <v>1116</v>
      </c>
      <c r="B56" s="37"/>
      <c r="C56" s="38">
        <v>0</v>
      </c>
      <c r="D56" s="31"/>
      <c r="E56" s="34"/>
      <c r="F56" s="105" t="s">
        <v>1116</v>
      </c>
      <c r="G56" s="107"/>
      <c r="H56" s="108">
        <v>0</v>
      </c>
      <c r="I56" s="103"/>
      <c r="J56" s="104"/>
    </row>
    <row r="57" spans="1:12" x14ac:dyDescent="0.3">
      <c r="A57" s="32" t="s">
        <v>1117</v>
      </c>
      <c r="B57" s="33">
        <f>SUM(B55:B56)</f>
        <v>0</v>
      </c>
      <c r="C57" s="33" t="e">
        <f>+C55-C56</f>
        <v>#REF!</v>
      </c>
      <c r="D57" s="31"/>
      <c r="E57" s="34"/>
      <c r="F57" s="101" t="s">
        <v>1117</v>
      </c>
      <c r="G57" s="102">
        <f>SUM(G55:G56)</f>
        <v>0</v>
      </c>
      <c r="H57" s="102">
        <f>SUM(H55:H56)</f>
        <v>28231290</v>
      </c>
      <c r="I57" s="103"/>
      <c r="J57" s="104"/>
    </row>
    <row r="58" spans="1:12" x14ac:dyDescent="0.3">
      <c r="A58" s="35" t="s">
        <v>1118</v>
      </c>
      <c r="B58" s="37"/>
      <c r="C58" s="38" t="e">
        <f>+#REF!</f>
        <v>#REF!</v>
      </c>
      <c r="D58" s="31"/>
      <c r="E58" s="34"/>
      <c r="F58" s="105" t="s">
        <v>1118</v>
      </c>
      <c r="G58" s="107"/>
      <c r="H58" s="108" t="e">
        <f>+#REF!+#REF!</f>
        <v>#REF!</v>
      </c>
      <c r="I58" s="103"/>
      <c r="J58" s="104"/>
    </row>
    <row r="59" spans="1:12" x14ac:dyDescent="0.3">
      <c r="A59" s="35" t="s">
        <v>1119</v>
      </c>
      <c r="B59" s="37"/>
      <c r="C59" s="38" t="e">
        <f>+#REF!</f>
        <v>#REF!</v>
      </c>
      <c r="D59" s="31"/>
      <c r="E59" s="34"/>
      <c r="F59" s="105" t="s">
        <v>1119</v>
      </c>
      <c r="G59" s="107"/>
      <c r="H59" s="108" t="e">
        <f>+#REF!</f>
        <v>#REF!</v>
      </c>
      <c r="I59" s="103"/>
      <c r="J59" s="104"/>
    </row>
    <row r="60" spans="1:12" x14ac:dyDescent="0.3">
      <c r="A60" s="35" t="s">
        <v>1120</v>
      </c>
      <c r="B60" s="37"/>
      <c r="C60" s="38">
        <v>0</v>
      </c>
      <c r="D60" s="31"/>
      <c r="E60" s="34"/>
      <c r="F60" s="105" t="s">
        <v>1120</v>
      </c>
      <c r="G60" s="107"/>
      <c r="H60" s="108">
        <v>0</v>
      </c>
      <c r="I60" s="103"/>
      <c r="J60" s="104"/>
    </row>
    <row r="61" spans="1:12" x14ac:dyDescent="0.3">
      <c r="A61" s="32" t="s">
        <v>1121</v>
      </c>
      <c r="B61" s="33">
        <f>+B57-B58-B59-B60</f>
        <v>0</v>
      </c>
      <c r="C61" s="33" t="e">
        <f>+C57-C58-C59-C60</f>
        <v>#REF!</v>
      </c>
      <c r="D61" s="31"/>
      <c r="E61" s="34"/>
      <c r="F61" s="101" t="s">
        <v>1121</v>
      </c>
      <c r="G61" s="102">
        <f>+G57-G58-G59-G60</f>
        <v>0</v>
      </c>
      <c r="H61" s="102" t="e">
        <f>+H57-H58-H59-H60</f>
        <v>#REF!</v>
      </c>
      <c r="I61" s="103"/>
      <c r="J61" s="104"/>
    </row>
    <row r="62" spans="1:12" x14ac:dyDescent="0.3">
      <c r="A62" s="40" t="s">
        <v>1122</v>
      </c>
      <c r="B62" s="37">
        <f>+B61*0.3</f>
        <v>0</v>
      </c>
      <c r="C62" s="37" t="e">
        <f>+C61*0.25</f>
        <v>#REF!</v>
      </c>
      <c r="D62" s="37"/>
      <c r="E62" s="34"/>
      <c r="F62" s="109" t="s">
        <v>1122</v>
      </c>
      <c r="G62" s="107">
        <f>+G61*0.3</f>
        <v>0</v>
      </c>
      <c r="H62" s="107" t="e">
        <f>+H61*0.25</f>
        <v>#REF!</v>
      </c>
      <c r="I62" s="107"/>
      <c r="J62" s="104"/>
    </row>
    <row r="63" spans="1:12" x14ac:dyDescent="0.3">
      <c r="A63" s="40"/>
      <c r="B63" s="37">
        <f>+B61-B62</f>
        <v>0</v>
      </c>
      <c r="C63" s="37" t="e">
        <f>+C61-C62</f>
        <v>#REF!</v>
      </c>
      <c r="D63" s="37" t="e">
        <f>SUM(B63:C63)</f>
        <v>#REF!</v>
      </c>
      <c r="E63" s="95">
        <v>0.15</v>
      </c>
      <c r="F63" s="109"/>
      <c r="G63" s="107">
        <f>+G61-G62</f>
        <v>0</v>
      </c>
      <c r="H63" s="107" t="e">
        <f>+H61-H62</f>
        <v>#REF!</v>
      </c>
      <c r="I63" s="107" t="e">
        <f>SUM(G63:H63)</f>
        <v>#REF!</v>
      </c>
      <c r="J63" s="104"/>
    </row>
    <row r="64" spans="1:12" x14ac:dyDescent="0.3">
      <c r="A64" s="32" t="s">
        <v>1123</v>
      </c>
      <c r="B64" s="33"/>
      <c r="C64" s="33"/>
      <c r="D64" s="33" t="e">
        <f>+D63/1</f>
        <v>#REF!</v>
      </c>
      <c r="E64" s="37">
        <v>736149</v>
      </c>
      <c r="F64" s="101" t="s">
        <v>1123</v>
      </c>
      <c r="G64" s="102"/>
      <c r="H64" s="102"/>
      <c r="I64" s="102" t="e">
        <f>+I63/1</f>
        <v>#REF!</v>
      </c>
      <c r="J64" s="127" t="e">
        <f>+I64*0.15</f>
        <v>#REF!</v>
      </c>
    </row>
    <row r="65" spans="1:12" x14ac:dyDescent="0.3">
      <c r="A65" s="35" t="s">
        <v>1126</v>
      </c>
      <c r="B65" s="37"/>
      <c r="C65" s="37" t="s">
        <v>1141</v>
      </c>
      <c r="D65" s="37">
        <f>IF(E64&gt;E66,E66,E64)</f>
        <v>736149</v>
      </c>
      <c r="E65" s="90" t="s">
        <v>1125</v>
      </c>
      <c r="F65" s="105" t="s">
        <v>1126</v>
      </c>
      <c r="G65" s="107"/>
      <c r="H65" s="107"/>
      <c r="I65" s="107">
        <v>150750</v>
      </c>
      <c r="J65" s="111" t="s">
        <v>1125</v>
      </c>
    </row>
    <row r="66" spans="1:12" x14ac:dyDescent="0.3">
      <c r="A66" s="35" t="s">
        <v>1127</v>
      </c>
      <c r="B66" s="37"/>
      <c r="C66" s="37"/>
      <c r="D66" s="37" t="e">
        <f>+#REF!</f>
        <v>#REF!</v>
      </c>
      <c r="E66" s="90">
        <f>9061000/12</f>
        <v>755083.33333333337</v>
      </c>
      <c r="F66" s="105" t="s">
        <v>1127</v>
      </c>
      <c r="G66" s="107"/>
      <c r="H66" s="107"/>
      <c r="I66" s="107" t="e">
        <f>+#REF!</f>
        <v>#REF!</v>
      </c>
      <c r="J66" s="104"/>
    </row>
    <row r="67" spans="1:12" x14ac:dyDescent="0.3">
      <c r="A67" s="32" t="s">
        <v>1128</v>
      </c>
      <c r="B67" s="33"/>
      <c r="C67" s="33"/>
      <c r="D67" s="33" t="e">
        <f>+D64-D65-D66</f>
        <v>#REF!</v>
      </c>
      <c r="E67" s="34"/>
      <c r="F67" s="101" t="s">
        <v>1128</v>
      </c>
      <c r="G67" s="102"/>
      <c r="H67" s="102"/>
      <c r="I67" s="102" t="e">
        <f>+I64-I65-I66</f>
        <v>#REF!</v>
      </c>
      <c r="J67" s="104"/>
    </row>
    <row r="68" spans="1:12" x14ac:dyDescent="0.3">
      <c r="A68" s="32" t="s">
        <v>1129</v>
      </c>
      <c r="B68" s="41"/>
      <c r="C68" s="63"/>
      <c r="D68" s="41"/>
      <c r="E68" s="34"/>
      <c r="F68" s="101" t="s">
        <v>1129</v>
      </c>
      <c r="G68" s="112"/>
      <c r="H68" s="112"/>
      <c r="I68" s="112"/>
      <c r="J68" s="104"/>
    </row>
    <row r="69" spans="1:12" ht="14" thickBot="1" x14ac:dyDescent="0.35">
      <c r="A69" s="43"/>
      <c r="B69" s="44"/>
      <c r="C69" s="44"/>
      <c r="D69" s="44"/>
      <c r="E69" s="45"/>
      <c r="F69" s="113"/>
      <c r="G69" s="114"/>
      <c r="H69" s="114"/>
      <c r="I69" s="114"/>
      <c r="J69" s="115"/>
    </row>
    <row r="70" spans="1:12" ht="14" thickBot="1" x14ac:dyDescent="0.35">
      <c r="A70" s="43"/>
      <c r="B70" s="44"/>
      <c r="C70" s="44"/>
      <c r="D70" s="44"/>
      <c r="E70" s="45"/>
      <c r="F70" s="101" t="s">
        <v>1128</v>
      </c>
      <c r="G70" s="102">
        <f>I68</f>
        <v>0</v>
      </c>
      <c r="H70" s="103"/>
      <c r="I70" s="116" t="s">
        <v>1130</v>
      </c>
      <c r="J70" s="117">
        <v>24555</v>
      </c>
    </row>
    <row r="71" spans="1:12" ht="14" thickBot="1" x14ac:dyDescent="0.35">
      <c r="A71" s="32" t="s">
        <v>1128</v>
      </c>
      <c r="B71" s="33">
        <f>D68</f>
        <v>0</v>
      </c>
      <c r="C71" s="31"/>
      <c r="D71" s="132" t="s">
        <v>1137</v>
      </c>
      <c r="E71" s="48">
        <v>24555</v>
      </c>
      <c r="F71" s="101" t="s">
        <v>1142</v>
      </c>
      <c r="G71" s="118" t="e">
        <f>(+J72-95)*19/100</f>
        <v>#REF!</v>
      </c>
      <c r="H71" s="118" t="e">
        <f>+G71</f>
        <v>#REF!</v>
      </c>
      <c r="I71" s="118"/>
      <c r="J71" s="119" t="e">
        <f>+I67</f>
        <v>#REF!</v>
      </c>
    </row>
    <row r="72" spans="1:12" ht="15.5" thickBot="1" x14ac:dyDescent="0.35">
      <c r="A72" s="32" t="s">
        <v>1143</v>
      </c>
      <c r="B72" s="46" t="e">
        <f>(+E73-95)*19/100</f>
        <v>#REF!</v>
      </c>
      <c r="C72" s="46"/>
      <c r="D72" s="46"/>
      <c r="E72" s="49" t="e">
        <f>+D67</f>
        <v>#REF!</v>
      </c>
      <c r="F72" s="120" t="s">
        <v>1144</v>
      </c>
      <c r="G72" s="121">
        <v>24555</v>
      </c>
      <c r="H72" s="69" t="e">
        <f>IF(H71&gt;0,ROUND(G72*H71,-2),0)</f>
        <v>#REF!</v>
      </c>
      <c r="I72" s="68" t="e">
        <f>+H72</f>
        <v>#REF!</v>
      </c>
      <c r="J72" s="122" t="e">
        <f>ROUND(J71/J70,0)</f>
        <v>#REF!</v>
      </c>
    </row>
    <row r="73" spans="1:12" ht="15.5" thickBot="1" x14ac:dyDescent="0.35">
      <c r="A73" s="50" t="s">
        <v>1133</v>
      </c>
      <c r="B73" s="42"/>
      <c r="C73" s="69" t="e">
        <f>IF(B72&gt;0,ROUND(B72*E71,-2),0)</f>
        <v>#REF!</v>
      </c>
      <c r="D73" s="51"/>
      <c r="E73" s="52" t="e">
        <f>ROUND(E72/E71,0)</f>
        <v>#REF!</v>
      </c>
      <c r="F73" s="123"/>
      <c r="G73" s="124"/>
      <c r="H73" s="125" t="e">
        <f>+H71</f>
        <v>#REF!</v>
      </c>
      <c r="I73" s="124"/>
      <c r="J73" s="126"/>
      <c r="L73" s="6"/>
    </row>
    <row r="74" spans="1:12" ht="14" thickBot="1" x14ac:dyDescent="0.35">
      <c r="A74" s="53"/>
      <c r="B74" s="131" t="s">
        <v>1134</v>
      </c>
      <c r="C74" s="62" t="e">
        <f>ROUND(+D67*0.0954,-3)</f>
        <v>#REF!</v>
      </c>
      <c r="D74" s="54"/>
      <c r="E74" s="55"/>
      <c r="H74" s="6" t="e">
        <f>+H72-0</f>
        <v>#REF!</v>
      </c>
      <c r="L74" s="6" t="e">
        <f>+C74+H51</f>
        <v>#REF!</v>
      </c>
    </row>
    <row r="75" spans="1:12" ht="14" thickBot="1" x14ac:dyDescent="0.35">
      <c r="C75" s="6"/>
      <c r="H75" s="6"/>
    </row>
    <row r="76" spans="1:12" x14ac:dyDescent="0.3">
      <c r="A76" s="27" t="s">
        <v>1145</v>
      </c>
      <c r="B76" s="28"/>
      <c r="C76" s="29"/>
      <c r="D76" s="29"/>
      <c r="E76" s="30"/>
      <c r="F76" s="27" t="e">
        <f>+#REF!</f>
        <v>#REF!</v>
      </c>
      <c r="G76" s="28"/>
      <c r="H76" s="29"/>
      <c r="I76" s="29"/>
      <c r="J76" s="30"/>
    </row>
    <row r="77" spans="1:12" x14ac:dyDescent="0.3">
      <c r="A77" s="32" t="s">
        <v>1113</v>
      </c>
      <c r="B77" s="33"/>
      <c r="C77" s="31"/>
      <c r="D77" s="31"/>
      <c r="E77" s="34"/>
      <c r="F77" s="32" t="s">
        <v>1113</v>
      </c>
      <c r="G77" s="33"/>
      <c r="H77" s="31"/>
      <c r="I77" s="31"/>
      <c r="J77" s="34"/>
    </row>
    <row r="78" spans="1:12" x14ac:dyDescent="0.3">
      <c r="A78" s="35" t="s">
        <v>1123</v>
      </c>
      <c r="B78" s="36"/>
      <c r="C78" s="36"/>
      <c r="D78" s="31"/>
      <c r="E78" s="34"/>
      <c r="F78" s="35"/>
      <c r="G78" s="36"/>
      <c r="H78" s="36"/>
      <c r="I78" s="31"/>
      <c r="J78" s="34"/>
    </row>
    <row r="79" spans="1:12" x14ac:dyDescent="0.3">
      <c r="A79" s="35" t="s">
        <v>1115</v>
      </c>
      <c r="B79" s="37"/>
      <c r="C79" s="38" t="e">
        <f>+#REF!</f>
        <v>#REF!</v>
      </c>
      <c r="D79" s="31"/>
      <c r="E79" s="34"/>
      <c r="F79" s="35" t="s">
        <v>1115</v>
      </c>
      <c r="G79" s="37"/>
      <c r="H79" s="38" t="e">
        <f>+#REF!</f>
        <v>#REF!</v>
      </c>
      <c r="I79" s="31"/>
      <c r="J79" s="34"/>
    </row>
    <row r="80" spans="1:12" x14ac:dyDescent="0.3">
      <c r="A80" s="35" t="s">
        <v>1116</v>
      </c>
      <c r="B80" s="37"/>
      <c r="C80" s="38">
        <v>0</v>
      </c>
      <c r="D80" s="31"/>
      <c r="E80" s="34"/>
      <c r="F80" s="35" t="s">
        <v>1116</v>
      </c>
      <c r="G80" s="37"/>
      <c r="H80" s="38">
        <v>0</v>
      </c>
      <c r="I80" s="31"/>
      <c r="J80" s="34"/>
    </row>
    <row r="81" spans="1:16" x14ac:dyDescent="0.3">
      <c r="A81" s="32" t="s">
        <v>1117</v>
      </c>
      <c r="B81" s="33">
        <f>SUM(B79:B80)</f>
        <v>0</v>
      </c>
      <c r="C81" s="33" t="e">
        <f>+C79-C80</f>
        <v>#REF!</v>
      </c>
      <c r="D81" s="31"/>
      <c r="E81" s="34"/>
      <c r="F81" s="32" t="s">
        <v>1117</v>
      </c>
      <c r="G81" s="33">
        <f>SUM(G79:G80)</f>
        <v>0</v>
      </c>
      <c r="H81" s="33" t="e">
        <f>+H79-H80</f>
        <v>#REF!</v>
      </c>
      <c r="I81" s="31"/>
      <c r="J81" s="34"/>
    </row>
    <row r="82" spans="1:16" x14ac:dyDescent="0.3">
      <c r="A82" s="35" t="s">
        <v>1118</v>
      </c>
      <c r="B82" s="37"/>
      <c r="C82" s="38" t="e">
        <f>+#REF!</f>
        <v>#REF!</v>
      </c>
      <c r="D82" s="31"/>
      <c r="E82" s="34"/>
      <c r="F82" s="35" t="s">
        <v>1118</v>
      </c>
      <c r="G82" s="37"/>
      <c r="H82" s="38" t="e">
        <f>+#REF!</f>
        <v>#REF!</v>
      </c>
      <c r="I82" s="31"/>
      <c r="J82" s="34"/>
    </row>
    <row r="83" spans="1:16" x14ac:dyDescent="0.3">
      <c r="A83" s="35" t="s">
        <v>1119</v>
      </c>
      <c r="B83" s="37"/>
      <c r="C83" s="38" t="e">
        <f>+#REF!</f>
        <v>#REF!</v>
      </c>
      <c r="D83" s="31"/>
      <c r="E83" s="34"/>
      <c r="F83" s="35" t="s">
        <v>1119</v>
      </c>
      <c r="G83" s="37"/>
      <c r="H83" s="38" t="e">
        <f>+#REF!</f>
        <v>#REF!</v>
      </c>
      <c r="I83" s="31"/>
      <c r="J83" s="34"/>
    </row>
    <row r="84" spans="1:16" x14ac:dyDescent="0.3">
      <c r="A84" s="35" t="s">
        <v>1120</v>
      </c>
      <c r="B84" s="37"/>
      <c r="C84" s="38">
        <v>0</v>
      </c>
      <c r="D84" s="31"/>
      <c r="E84" s="34"/>
      <c r="F84" s="35" t="s">
        <v>1120</v>
      </c>
      <c r="G84" s="37"/>
      <c r="H84" s="38">
        <v>0</v>
      </c>
      <c r="I84" s="31"/>
      <c r="J84" s="34"/>
    </row>
    <row r="85" spans="1:16" x14ac:dyDescent="0.3">
      <c r="A85" s="32" t="s">
        <v>1121</v>
      </c>
      <c r="B85" s="33">
        <f>+B81-B82-B83-B84</f>
        <v>0</v>
      </c>
      <c r="C85" s="33" t="e">
        <f>+C81-C82-C83-C84</f>
        <v>#REF!</v>
      </c>
      <c r="D85" s="31"/>
      <c r="E85" s="34"/>
      <c r="F85" s="32" t="s">
        <v>1121</v>
      </c>
      <c r="G85" s="33">
        <f>+G81-G82-G83-G84</f>
        <v>0</v>
      </c>
      <c r="H85" s="33" t="e">
        <f>+H81-H82-H83-H84</f>
        <v>#REF!</v>
      </c>
      <c r="I85" s="31"/>
      <c r="J85" s="34"/>
    </row>
    <row r="86" spans="1:16" x14ac:dyDescent="0.3">
      <c r="A86" s="40" t="s">
        <v>1122</v>
      </c>
      <c r="B86" s="37">
        <f>+B85*0.3</f>
        <v>0</v>
      </c>
      <c r="C86" s="37" t="e">
        <f>+C85*0.25</f>
        <v>#REF!</v>
      </c>
      <c r="D86" s="37"/>
      <c r="E86" s="34"/>
      <c r="F86" s="40" t="s">
        <v>1122</v>
      </c>
      <c r="G86" s="37">
        <f>+G85*0.3</f>
        <v>0</v>
      </c>
      <c r="H86" s="37" t="e">
        <f>+H85*0.25</f>
        <v>#REF!</v>
      </c>
      <c r="I86" s="37"/>
      <c r="J86" s="34"/>
    </row>
    <row r="87" spans="1:16" x14ac:dyDescent="0.3">
      <c r="A87" s="40"/>
      <c r="B87" s="37">
        <f>+B85-B86</f>
        <v>0</v>
      </c>
      <c r="C87" s="37" t="e">
        <f>+C85-C86</f>
        <v>#REF!</v>
      </c>
      <c r="D87" s="37" t="e">
        <f>SUM(B87:C87)</f>
        <v>#REF!</v>
      </c>
      <c r="E87" s="96" t="s">
        <v>1146</v>
      </c>
      <c r="F87" s="40"/>
      <c r="G87" s="37">
        <f>+G85-G86</f>
        <v>0</v>
      </c>
      <c r="H87" s="37" t="e">
        <f>+H85-H86</f>
        <v>#REF!</v>
      </c>
      <c r="I87" s="37" t="e">
        <f>SUM(G87:H87)</f>
        <v>#REF!</v>
      </c>
      <c r="J87" s="91" t="e">
        <f>+I87*0.15</f>
        <v>#REF!</v>
      </c>
    </row>
    <row r="88" spans="1:16" x14ac:dyDescent="0.3">
      <c r="A88" s="32" t="s">
        <v>1123</v>
      </c>
      <c r="B88" s="33"/>
      <c r="C88" s="33"/>
      <c r="D88" s="33" t="e">
        <f>+D87/1</f>
        <v>#REF!</v>
      </c>
      <c r="E88" s="34" t="e">
        <f>+D88*0.15</f>
        <v>#REF!</v>
      </c>
      <c r="F88" s="32" t="s">
        <v>1123</v>
      </c>
      <c r="G88" s="33"/>
      <c r="H88" s="33"/>
      <c r="I88" s="33" t="e">
        <f>+I87/1</f>
        <v>#REF!</v>
      </c>
      <c r="J88" s="34"/>
    </row>
    <row r="89" spans="1:16" x14ac:dyDescent="0.3">
      <c r="A89" s="35" t="s">
        <v>1126</v>
      </c>
      <c r="B89" s="37"/>
      <c r="C89" s="37"/>
      <c r="D89" s="37">
        <v>522076</v>
      </c>
      <c r="E89" s="34"/>
      <c r="F89" s="35" t="s">
        <v>1126</v>
      </c>
      <c r="G89" s="37"/>
      <c r="H89" s="37" t="s">
        <v>1141</v>
      </c>
      <c r="I89" s="37">
        <v>870624</v>
      </c>
      <c r="J89" s="90" t="s">
        <v>1125</v>
      </c>
      <c r="N89" s="1">
        <f>703935/12</f>
        <v>58661.25</v>
      </c>
      <c r="O89" s="1">
        <f>1044000+765000</f>
        <v>1809000</v>
      </c>
      <c r="P89" s="1">
        <f>+O89/12</f>
        <v>150750</v>
      </c>
    </row>
    <row r="90" spans="1:16" x14ac:dyDescent="0.3">
      <c r="A90" s="35" t="s">
        <v>1127</v>
      </c>
      <c r="B90" s="37"/>
      <c r="C90" s="37"/>
      <c r="D90" s="37" t="e">
        <f>+#REF!</f>
        <v>#REF!</v>
      </c>
      <c r="E90" s="90"/>
      <c r="F90" s="35" t="s">
        <v>1127</v>
      </c>
      <c r="G90" s="37"/>
      <c r="H90" s="37"/>
      <c r="I90" s="37" t="e">
        <f>+#REF!</f>
        <v>#REF!</v>
      </c>
      <c r="J90" s="90"/>
    </row>
    <row r="91" spans="1:16" x14ac:dyDescent="0.3">
      <c r="A91" s="32" t="s">
        <v>1128</v>
      </c>
      <c r="B91" s="33"/>
      <c r="C91" s="33"/>
      <c r="D91" s="33" t="e">
        <f>+D88-D89-D90</f>
        <v>#REF!</v>
      </c>
      <c r="E91" s="34"/>
      <c r="F91" s="32" t="s">
        <v>1128</v>
      </c>
      <c r="G91" s="33"/>
      <c r="H91" s="33"/>
      <c r="I91" s="33" t="e">
        <f>+I88-I89-I90</f>
        <v>#REF!</v>
      </c>
      <c r="J91" s="34"/>
    </row>
    <row r="92" spans="1:16" x14ac:dyDescent="0.3">
      <c r="A92" s="32" t="s">
        <v>1129</v>
      </c>
      <c r="B92" s="41"/>
      <c r="C92" s="41"/>
      <c r="D92" s="41"/>
      <c r="E92" s="34"/>
      <c r="F92" s="32" t="s">
        <v>1129</v>
      </c>
      <c r="G92" s="41"/>
      <c r="H92" s="41"/>
      <c r="I92" s="41"/>
      <c r="J92" s="34"/>
    </row>
    <row r="93" spans="1:16" ht="14" thickBot="1" x14ac:dyDescent="0.35">
      <c r="A93" s="43"/>
      <c r="B93" s="44"/>
      <c r="C93" s="44"/>
      <c r="D93" s="44"/>
      <c r="E93" s="45"/>
      <c r="F93" s="43"/>
      <c r="G93" s="44"/>
      <c r="H93" s="44"/>
      <c r="I93" s="44"/>
      <c r="J93" s="45"/>
    </row>
    <row r="94" spans="1:16" x14ac:dyDescent="0.3">
      <c r="A94" s="32" t="s">
        <v>1128</v>
      </c>
      <c r="B94" s="33" t="e">
        <f>D91</f>
        <v>#REF!</v>
      </c>
      <c r="C94" s="31"/>
      <c r="D94" s="47" t="s">
        <v>1130</v>
      </c>
      <c r="E94" s="48">
        <v>24555</v>
      </c>
      <c r="F94" s="32" t="s">
        <v>1128</v>
      </c>
      <c r="G94" s="33">
        <f>I92</f>
        <v>0</v>
      </c>
      <c r="H94" s="31"/>
      <c r="I94" s="132" t="s">
        <v>1147</v>
      </c>
      <c r="J94" s="48">
        <v>24555</v>
      </c>
    </row>
    <row r="95" spans="1:16" ht="14" thickBot="1" x14ac:dyDescent="0.35">
      <c r="A95" s="32" t="s">
        <v>1148</v>
      </c>
      <c r="B95" s="46" t="e">
        <f>(+E96-95)*19/100</f>
        <v>#REF!</v>
      </c>
      <c r="C95" s="46" t="e">
        <f>B95</f>
        <v>#REF!</v>
      </c>
      <c r="D95" s="46"/>
      <c r="E95" s="49" t="e">
        <f>+D91</f>
        <v>#REF!</v>
      </c>
      <c r="F95" s="32" t="s">
        <v>1149</v>
      </c>
      <c r="G95" s="46" t="e">
        <f>(+J96-95)*19/100</f>
        <v>#REF!</v>
      </c>
      <c r="H95" s="46"/>
      <c r="I95" s="46"/>
      <c r="J95" s="49" t="e">
        <f>+I91</f>
        <v>#REF!</v>
      </c>
    </row>
    <row r="96" spans="1:16" ht="15.5" thickBot="1" x14ac:dyDescent="0.35">
      <c r="A96" s="50" t="s">
        <v>1150</v>
      </c>
      <c r="B96" s="42">
        <v>24555</v>
      </c>
      <c r="C96" s="69" t="e">
        <f>ROUND(B96*C97,-3)</f>
        <v>#REF!</v>
      </c>
      <c r="D96" s="51" t="e">
        <f>+C96</f>
        <v>#REF!</v>
      </c>
      <c r="E96" s="52" t="e">
        <f>E95/E94</f>
        <v>#REF!</v>
      </c>
      <c r="F96" s="50" t="s">
        <v>1151</v>
      </c>
      <c r="G96" s="42"/>
      <c r="H96" s="61" t="e">
        <f>IF(G95&gt;0,ROUND(J94*G95,-2),0)</f>
        <v>#REF!</v>
      </c>
      <c r="I96" s="51" t="e">
        <f>+H96</f>
        <v>#REF!</v>
      </c>
      <c r="J96" s="52" t="e">
        <f>ROUND(J95/J94,0)</f>
        <v>#REF!</v>
      </c>
      <c r="L96" s="6" t="e">
        <f>+C96+H72</f>
        <v>#REF!</v>
      </c>
    </row>
    <row r="97" spans="1:11" ht="14" thickBot="1" x14ac:dyDescent="0.35">
      <c r="A97" s="53"/>
      <c r="B97" s="54"/>
      <c r="C97" s="62" t="e">
        <f>+C95</f>
        <v>#REF!</v>
      </c>
      <c r="D97" s="54"/>
      <c r="E97" s="55"/>
      <c r="F97" s="53"/>
      <c r="G97" s="131" t="s">
        <v>1134</v>
      </c>
      <c r="H97" s="62" t="e">
        <f>ROUND(+I91*0.0563,-3)</f>
        <v>#REF!</v>
      </c>
      <c r="I97" s="54"/>
      <c r="J97" s="55"/>
    </row>
    <row r="98" spans="1:11" ht="14" thickBot="1" x14ac:dyDescent="0.35">
      <c r="C98" s="6"/>
      <c r="D98" s="7"/>
      <c r="H98" s="6"/>
      <c r="J98" s="1" t="s">
        <v>1109</v>
      </c>
    </row>
    <row r="99" spans="1:11" x14ac:dyDescent="0.3">
      <c r="A99" s="97" t="e">
        <f>+#REF!</f>
        <v>#REF!</v>
      </c>
      <c r="B99" s="98"/>
      <c r="C99" s="99"/>
      <c r="D99" s="99"/>
      <c r="E99" s="100"/>
      <c r="F99" s="128" t="e">
        <f>+#REF!</f>
        <v>#REF!</v>
      </c>
      <c r="G99" s="98"/>
      <c r="H99" s="99"/>
      <c r="I99" s="99"/>
      <c r="J99" s="100"/>
    </row>
    <row r="100" spans="1:11" x14ac:dyDescent="0.3">
      <c r="A100" s="101" t="s">
        <v>1113</v>
      </c>
      <c r="B100" s="102"/>
      <c r="C100" s="103"/>
      <c r="D100" s="103"/>
      <c r="E100" s="104"/>
      <c r="F100" s="101" t="s">
        <v>1113</v>
      </c>
      <c r="G100" s="102"/>
      <c r="H100" s="103"/>
      <c r="I100" s="103"/>
      <c r="J100" s="104"/>
    </row>
    <row r="101" spans="1:11" x14ac:dyDescent="0.3">
      <c r="A101" s="105"/>
      <c r="B101" s="106"/>
      <c r="C101" s="106"/>
      <c r="D101" s="103"/>
      <c r="E101" s="104"/>
      <c r="F101" s="105"/>
      <c r="G101" s="106"/>
      <c r="H101" s="106"/>
      <c r="I101" s="103"/>
      <c r="J101" s="104"/>
    </row>
    <row r="102" spans="1:11" x14ac:dyDescent="0.3">
      <c r="A102" s="105" t="s">
        <v>1115</v>
      </c>
      <c r="B102" s="107"/>
      <c r="C102" s="108" t="e">
        <f>+#REF!</f>
        <v>#REF!</v>
      </c>
      <c r="D102" s="103"/>
      <c r="E102" s="104"/>
      <c r="F102" s="105" t="s">
        <v>1115</v>
      </c>
      <c r="G102" s="107"/>
      <c r="H102" s="108" t="e">
        <f>+#REF!</f>
        <v>#REF!</v>
      </c>
      <c r="I102" s="103"/>
      <c r="J102" s="104"/>
    </row>
    <row r="103" spans="1:11" x14ac:dyDescent="0.3">
      <c r="A103" s="105" t="s">
        <v>1116</v>
      </c>
      <c r="B103" s="107"/>
      <c r="C103" s="108">
        <v>0</v>
      </c>
      <c r="D103" s="103"/>
      <c r="E103" s="104"/>
      <c r="F103" s="105" t="s">
        <v>1116</v>
      </c>
      <c r="G103" s="107"/>
      <c r="H103" s="108">
        <v>0</v>
      </c>
      <c r="I103" s="103"/>
      <c r="J103" s="104"/>
    </row>
    <row r="104" spans="1:11" x14ac:dyDescent="0.3">
      <c r="A104" s="101" t="s">
        <v>1117</v>
      </c>
      <c r="B104" s="102">
        <f>SUM(B102:B103)</f>
        <v>0</v>
      </c>
      <c r="C104" s="102" t="e">
        <f>+C102-C103</f>
        <v>#REF!</v>
      </c>
      <c r="D104" s="103"/>
      <c r="E104" s="104"/>
      <c r="F104" s="101" t="s">
        <v>1117</v>
      </c>
      <c r="G104" s="102">
        <f>SUM(G102:G103)</f>
        <v>0</v>
      </c>
      <c r="H104" s="102" t="e">
        <f>+H102-H103</f>
        <v>#REF!</v>
      </c>
      <c r="I104" s="103"/>
      <c r="J104" s="104"/>
    </row>
    <row r="105" spans="1:11" x14ac:dyDescent="0.3">
      <c r="A105" s="105" t="s">
        <v>1118</v>
      </c>
      <c r="B105" s="107"/>
      <c r="C105" s="108" t="e">
        <f>+#REF!+#REF!</f>
        <v>#REF!</v>
      </c>
      <c r="D105" s="103"/>
      <c r="E105" s="104"/>
      <c r="F105" s="105" t="s">
        <v>1118</v>
      </c>
      <c r="G105" s="107"/>
      <c r="H105" s="108" t="e">
        <f>+#REF!</f>
        <v>#REF!</v>
      </c>
      <c r="I105" s="103"/>
      <c r="J105" s="104"/>
    </row>
    <row r="106" spans="1:11" x14ac:dyDescent="0.3">
      <c r="A106" s="105" t="s">
        <v>1119</v>
      </c>
      <c r="B106" s="107"/>
      <c r="C106" s="108" t="e">
        <f>+#REF!</f>
        <v>#REF!</v>
      </c>
      <c r="D106" s="103"/>
      <c r="E106" s="104"/>
      <c r="F106" s="105" t="s">
        <v>1119</v>
      </c>
      <c r="G106" s="107"/>
      <c r="H106" s="108" t="e">
        <f>+#REF!</f>
        <v>#REF!</v>
      </c>
      <c r="I106" s="103"/>
      <c r="J106" s="104"/>
    </row>
    <row r="107" spans="1:11" x14ac:dyDescent="0.3">
      <c r="A107" s="105" t="s">
        <v>1120</v>
      </c>
      <c r="B107" s="107"/>
      <c r="C107" s="108">
        <v>0</v>
      </c>
      <c r="D107" s="103"/>
      <c r="E107" s="104"/>
      <c r="F107" s="105" t="s">
        <v>1120</v>
      </c>
      <c r="G107" s="107"/>
      <c r="H107" s="108">
        <v>0</v>
      </c>
      <c r="I107" s="103"/>
      <c r="J107" s="104"/>
    </row>
    <row r="108" spans="1:11" x14ac:dyDescent="0.3">
      <c r="A108" s="101" t="s">
        <v>1121</v>
      </c>
      <c r="B108" s="102">
        <f>+B104-B105-B106-B107</f>
        <v>0</v>
      </c>
      <c r="C108" s="102" t="e">
        <f>+C104-C105-C106-C107</f>
        <v>#REF!</v>
      </c>
      <c r="D108" s="103"/>
      <c r="E108" s="104"/>
      <c r="F108" s="101" t="s">
        <v>1121</v>
      </c>
      <c r="G108" s="102">
        <f>+G104-G105-G106-G107</f>
        <v>0</v>
      </c>
      <c r="H108" s="102" t="e">
        <f>+H104-H105-H106-H107</f>
        <v>#REF!</v>
      </c>
      <c r="I108" s="103"/>
      <c r="J108" s="104"/>
    </row>
    <row r="109" spans="1:11" x14ac:dyDescent="0.3">
      <c r="A109" s="109" t="s">
        <v>1122</v>
      </c>
      <c r="B109" s="107">
        <f>+B108*0.3</f>
        <v>0</v>
      </c>
      <c r="C109" s="107" t="e">
        <f>+C108*0.25</f>
        <v>#REF!</v>
      </c>
      <c r="D109" s="107"/>
      <c r="E109" s="104"/>
      <c r="F109" s="109" t="s">
        <v>1122</v>
      </c>
      <c r="G109" s="107">
        <f>+G108*0.3</f>
        <v>0</v>
      </c>
      <c r="H109" s="107" t="e">
        <f>+H108*0.25</f>
        <v>#REF!</v>
      </c>
      <c r="I109" s="107"/>
      <c r="J109" s="104"/>
    </row>
    <row r="110" spans="1:11" x14ac:dyDescent="0.3">
      <c r="A110" s="109"/>
      <c r="B110" s="107">
        <f>+B108-B109</f>
        <v>0</v>
      </c>
      <c r="C110" s="107" t="e">
        <f>+C108-C109</f>
        <v>#REF!</v>
      </c>
      <c r="D110" s="107" t="e">
        <f>SUM(B110:C110)</f>
        <v>#REF!</v>
      </c>
      <c r="E110" s="104"/>
      <c r="F110" s="109"/>
      <c r="G110" s="107">
        <f>+G108-G109</f>
        <v>0</v>
      </c>
      <c r="H110" s="107" t="e">
        <f>+H108-H109</f>
        <v>#REF!</v>
      </c>
      <c r="I110" s="107" t="e">
        <f>SUM(G110:H110)</f>
        <v>#REF!</v>
      </c>
      <c r="J110" s="104" t="s">
        <v>1146</v>
      </c>
    </row>
    <row r="111" spans="1:11" x14ac:dyDescent="0.3">
      <c r="A111" s="101" t="s">
        <v>1123</v>
      </c>
      <c r="B111" s="102"/>
      <c r="C111" s="102"/>
      <c r="D111" s="102" t="e">
        <f>+D110/1</f>
        <v>#REF!</v>
      </c>
      <c r="E111" s="104"/>
      <c r="F111" s="101" t="s">
        <v>1123</v>
      </c>
      <c r="G111" s="102"/>
      <c r="H111" s="102"/>
      <c r="I111" s="102" t="e">
        <f>+I110/1</f>
        <v>#REF!</v>
      </c>
      <c r="J111" s="110" t="e">
        <f>+I111*0.15</f>
        <v>#REF!</v>
      </c>
    </row>
    <row r="112" spans="1:11" x14ac:dyDescent="0.3">
      <c r="A112" s="105" t="s">
        <v>1126</v>
      </c>
      <c r="B112" s="107"/>
      <c r="C112" s="107"/>
      <c r="D112" s="107">
        <v>0</v>
      </c>
      <c r="E112" s="104"/>
      <c r="F112" s="105" t="s">
        <v>1124</v>
      </c>
      <c r="G112" s="107"/>
      <c r="H112" s="107"/>
      <c r="I112" s="107">
        <v>0</v>
      </c>
      <c r="J112" s="111" t="s">
        <v>1125</v>
      </c>
      <c r="K112" s="1">
        <f>8478655/12</f>
        <v>706554.58333333337</v>
      </c>
    </row>
    <row r="113" spans="1:12" x14ac:dyDescent="0.3">
      <c r="A113" s="105" t="s">
        <v>1127</v>
      </c>
      <c r="B113" s="107"/>
      <c r="C113" s="107"/>
      <c r="D113" s="107" t="e">
        <f>+#REF!</f>
        <v>#REF!</v>
      </c>
      <c r="E113" s="111"/>
      <c r="F113" s="105" t="s">
        <v>1127</v>
      </c>
      <c r="G113" s="107"/>
      <c r="H113" s="107"/>
      <c r="I113" s="107" t="e">
        <f>+#REF!</f>
        <v>#REF!</v>
      </c>
      <c r="J113" s="111"/>
    </row>
    <row r="114" spans="1:12" x14ac:dyDescent="0.3">
      <c r="A114" s="101" t="s">
        <v>1128</v>
      </c>
      <c r="B114" s="102"/>
      <c r="C114" s="102"/>
      <c r="D114" s="102" t="e">
        <f>+D111-D112-D113</f>
        <v>#REF!</v>
      </c>
      <c r="E114" s="104"/>
      <c r="F114" s="101" t="s">
        <v>1128</v>
      </c>
      <c r="G114" s="102"/>
      <c r="H114" s="102"/>
      <c r="I114" s="102" t="e">
        <f>+I111-I112-I113</f>
        <v>#REF!</v>
      </c>
      <c r="J114" s="104"/>
    </row>
    <row r="115" spans="1:12" x14ac:dyDescent="0.3">
      <c r="A115" s="101" t="s">
        <v>1129</v>
      </c>
      <c r="B115" s="112"/>
      <c r="C115" s="112"/>
      <c r="D115" s="112"/>
      <c r="E115" s="104"/>
      <c r="F115" s="101" t="s">
        <v>1129</v>
      </c>
      <c r="G115" s="112"/>
      <c r="H115" s="112"/>
      <c r="I115" s="112"/>
      <c r="J115" s="104"/>
    </row>
    <row r="116" spans="1:12" ht="14" thickBot="1" x14ac:dyDescent="0.35">
      <c r="A116" s="113"/>
      <c r="B116" s="114"/>
      <c r="C116" s="114"/>
      <c r="D116" s="114"/>
      <c r="E116" s="115"/>
      <c r="F116" s="113"/>
      <c r="G116" s="114"/>
      <c r="H116" s="114"/>
      <c r="I116" s="114"/>
      <c r="J116" s="115"/>
    </row>
    <row r="117" spans="1:12" x14ac:dyDescent="0.3">
      <c r="A117" s="101" t="s">
        <v>1128</v>
      </c>
      <c r="B117" s="102">
        <f>D115</f>
        <v>0</v>
      </c>
      <c r="C117" s="103"/>
      <c r="D117" s="116" t="s">
        <v>1130</v>
      </c>
      <c r="E117" s="117">
        <v>24555</v>
      </c>
      <c r="F117" s="101" t="s">
        <v>1128</v>
      </c>
      <c r="G117" s="102">
        <f>I115</f>
        <v>0</v>
      </c>
      <c r="H117" s="103"/>
      <c r="I117" s="116" t="s">
        <v>1130</v>
      </c>
      <c r="J117" s="117">
        <v>24555</v>
      </c>
    </row>
    <row r="118" spans="1:12" ht="14" thickBot="1" x14ac:dyDescent="0.35">
      <c r="A118" s="101" t="s">
        <v>1152</v>
      </c>
      <c r="B118" s="118" t="e">
        <f>(+E119-95)*19/100</f>
        <v>#REF!</v>
      </c>
      <c r="C118" s="118" t="e">
        <f>+B118</f>
        <v>#REF!</v>
      </c>
      <c r="D118" s="118"/>
      <c r="E118" s="119" t="e">
        <f>+D114</f>
        <v>#REF!</v>
      </c>
      <c r="F118" s="101" t="s">
        <v>1153</v>
      </c>
      <c r="G118" s="118" t="e">
        <f>(+J119-95)*19/100</f>
        <v>#REF!</v>
      </c>
      <c r="H118" s="129" t="e">
        <f>+G118</f>
        <v>#REF!</v>
      </c>
      <c r="I118" s="118"/>
      <c r="J118" s="119" t="e">
        <f>+I114</f>
        <v>#REF!</v>
      </c>
    </row>
    <row r="119" spans="1:12" ht="15.5" thickBot="1" x14ac:dyDescent="0.35">
      <c r="A119" s="120" t="s">
        <v>1154</v>
      </c>
      <c r="B119" s="121">
        <v>24555</v>
      </c>
      <c r="C119" s="69" t="e">
        <f>IF(C118&gt;0,ROUND(B119*C118,-2),0)</f>
        <v>#REF!</v>
      </c>
      <c r="D119" s="68" t="e">
        <f>+C119</f>
        <v>#REF!</v>
      </c>
      <c r="E119" s="122" t="e">
        <f>ROUND(E118/E117,0)</f>
        <v>#REF!</v>
      </c>
      <c r="F119" s="120" t="s">
        <v>1155</v>
      </c>
      <c r="G119" s="121">
        <v>24555</v>
      </c>
      <c r="H119" s="69" t="e">
        <f>IF(H118&gt;0,ROUND(G119*H118,-2),0)</f>
        <v>#REF!</v>
      </c>
      <c r="I119" s="68" t="e">
        <f>+H119</f>
        <v>#REF!</v>
      </c>
      <c r="J119" s="122" t="e">
        <f>ROUND(J118/J117,0)</f>
        <v>#REF!</v>
      </c>
      <c r="L119" s="6"/>
    </row>
    <row r="120" spans="1:12" ht="11.25" customHeight="1" thickBot="1" x14ac:dyDescent="0.35">
      <c r="A120" s="123"/>
      <c r="B120" s="131" t="s">
        <v>1134</v>
      </c>
      <c r="C120" s="133">
        <v>0</v>
      </c>
      <c r="D120" s="124"/>
      <c r="E120" s="126"/>
      <c r="F120" s="123"/>
      <c r="G120" s="124"/>
      <c r="H120" s="124"/>
      <c r="I120" s="124"/>
      <c r="J120" s="126"/>
      <c r="L120" s="6" t="e">
        <f>+C120+H97</f>
        <v>#REF!</v>
      </c>
    </row>
    <row r="121" spans="1:12" x14ac:dyDescent="0.3">
      <c r="A121" s="64" t="e">
        <f>+#REF!</f>
        <v>#REF!</v>
      </c>
      <c r="B121" s="28"/>
      <c r="C121" s="29"/>
      <c r="D121" s="29"/>
      <c r="E121" s="30"/>
      <c r="F121" s="64" t="e">
        <f>+#REF!</f>
        <v>#REF!</v>
      </c>
      <c r="G121" s="28"/>
      <c r="H121" s="29"/>
      <c r="I121" s="29"/>
      <c r="J121" s="30"/>
    </row>
    <row r="122" spans="1:12" x14ac:dyDescent="0.3">
      <c r="A122" s="32" t="s">
        <v>1113</v>
      </c>
      <c r="B122" s="33"/>
      <c r="C122" s="31"/>
      <c r="D122" s="31"/>
      <c r="E122" s="34"/>
      <c r="F122" s="32" t="s">
        <v>1113</v>
      </c>
      <c r="G122" s="33"/>
      <c r="H122" s="31"/>
      <c r="I122" s="31"/>
      <c r="J122" s="34"/>
    </row>
    <row r="123" spans="1:12" x14ac:dyDescent="0.3">
      <c r="A123" s="35"/>
      <c r="B123" s="36"/>
      <c r="C123" s="36"/>
      <c r="D123" s="31"/>
      <c r="E123" s="34"/>
      <c r="F123" s="35"/>
      <c r="G123" s="36"/>
      <c r="H123" s="36"/>
      <c r="I123" s="31"/>
      <c r="J123" s="34"/>
    </row>
    <row r="124" spans="1:12" x14ac:dyDescent="0.3">
      <c r="A124" s="35" t="s">
        <v>1115</v>
      </c>
      <c r="B124" s="37"/>
      <c r="C124" s="38" t="e">
        <f>+#REF!</f>
        <v>#REF!</v>
      </c>
      <c r="D124" s="31"/>
      <c r="E124" s="34"/>
      <c r="F124" s="35" t="s">
        <v>1115</v>
      </c>
      <c r="G124" s="37"/>
      <c r="H124" s="38" t="e">
        <f>+#REF!</f>
        <v>#REF!</v>
      </c>
      <c r="I124" s="31"/>
      <c r="J124" s="34"/>
    </row>
    <row r="125" spans="1:12" x14ac:dyDescent="0.3">
      <c r="A125" s="35" t="s">
        <v>1116</v>
      </c>
      <c r="B125" s="37"/>
      <c r="C125" s="38">
        <v>0</v>
      </c>
      <c r="D125" s="31"/>
      <c r="E125" s="34"/>
      <c r="F125" s="35" t="s">
        <v>1116</v>
      </c>
      <c r="G125" s="37"/>
      <c r="H125" s="38">
        <v>0</v>
      </c>
      <c r="I125" s="31"/>
      <c r="J125" s="34"/>
    </row>
    <row r="126" spans="1:12" x14ac:dyDescent="0.3">
      <c r="A126" s="32" t="s">
        <v>1117</v>
      </c>
      <c r="B126" s="33">
        <f>SUM(B124:B125)</f>
        <v>0</v>
      </c>
      <c r="C126" s="33" t="e">
        <f>SUM(C124:C125)</f>
        <v>#REF!</v>
      </c>
      <c r="D126" s="42"/>
      <c r="E126" s="34"/>
      <c r="F126" s="32" t="s">
        <v>1117</v>
      </c>
      <c r="G126" s="33">
        <f>SUM(G124:G125)</f>
        <v>0</v>
      </c>
      <c r="H126" s="33" t="e">
        <f>SUM(H124:H125)</f>
        <v>#REF!</v>
      </c>
      <c r="I126" s="31"/>
      <c r="J126" s="34" t="e">
        <f>+H126*0.3-H127-H128</f>
        <v>#REF!</v>
      </c>
    </row>
    <row r="127" spans="1:12" x14ac:dyDescent="0.3">
      <c r="A127" s="35" t="s">
        <v>1118</v>
      </c>
      <c r="B127" s="37"/>
      <c r="C127" s="38" t="e">
        <f>+#REF!</f>
        <v>#REF!</v>
      </c>
      <c r="D127" s="31"/>
      <c r="E127" s="34"/>
      <c r="F127" s="35" t="s">
        <v>1118</v>
      </c>
      <c r="G127" s="37"/>
      <c r="H127" s="38" t="e">
        <f>+#REF!</f>
        <v>#REF!</v>
      </c>
      <c r="I127" s="31"/>
      <c r="J127" s="34"/>
    </row>
    <row r="128" spans="1:12" x14ac:dyDescent="0.3">
      <c r="A128" s="35" t="s">
        <v>1119</v>
      </c>
      <c r="B128" s="37"/>
      <c r="C128" s="38" t="e">
        <f>+#REF!</f>
        <v>#REF!</v>
      </c>
      <c r="D128" s="31"/>
      <c r="E128" s="34"/>
      <c r="F128" s="35" t="s">
        <v>1119</v>
      </c>
      <c r="G128" s="37"/>
      <c r="H128" s="38" t="e">
        <f>+#REF!</f>
        <v>#REF!</v>
      </c>
      <c r="I128" s="31"/>
      <c r="J128" s="34"/>
    </row>
    <row r="129" spans="1:14" x14ac:dyDescent="0.3">
      <c r="A129" s="35" t="s">
        <v>1120</v>
      </c>
      <c r="B129" s="37"/>
      <c r="C129" s="38">
        <v>0</v>
      </c>
      <c r="D129" s="31"/>
      <c r="E129" s="34"/>
      <c r="F129" s="35" t="s">
        <v>1156</v>
      </c>
      <c r="G129" s="37"/>
      <c r="H129" s="38">
        <v>0</v>
      </c>
      <c r="I129" s="31" t="s">
        <v>1157</v>
      </c>
      <c r="J129" s="34"/>
    </row>
    <row r="130" spans="1:14" x14ac:dyDescent="0.3">
      <c r="A130" s="32" t="s">
        <v>1121</v>
      </c>
      <c r="B130" s="33">
        <f>+B126-B127-B128-B129</f>
        <v>0</v>
      </c>
      <c r="C130" s="33" t="e">
        <f>+C126-C127-C128-C129</f>
        <v>#REF!</v>
      </c>
      <c r="D130" s="31"/>
      <c r="E130" s="34"/>
      <c r="F130" s="32" t="s">
        <v>1121</v>
      </c>
      <c r="G130" s="33">
        <f>+G126-G127-G128-G129</f>
        <v>0</v>
      </c>
      <c r="H130" s="33" t="e">
        <f>+H126-H127-H128-H129</f>
        <v>#REF!</v>
      </c>
      <c r="I130" s="31"/>
      <c r="J130" s="34"/>
    </row>
    <row r="131" spans="1:14" x14ac:dyDescent="0.3">
      <c r="A131" s="40" t="s">
        <v>1122</v>
      </c>
      <c r="B131" s="37">
        <f>+B130*0.3</f>
        <v>0</v>
      </c>
      <c r="C131" s="37" t="e">
        <f>+C130*0.25</f>
        <v>#REF!</v>
      </c>
      <c r="D131" s="37"/>
      <c r="E131" s="34"/>
      <c r="F131" s="40" t="s">
        <v>1122</v>
      </c>
      <c r="G131" s="37">
        <f>+G130*0.3</f>
        <v>0</v>
      </c>
      <c r="H131" s="37" t="e">
        <f>+H130*0.25</f>
        <v>#REF!</v>
      </c>
      <c r="I131" s="37"/>
      <c r="J131" s="34"/>
    </row>
    <row r="132" spans="1:14" x14ac:dyDescent="0.3">
      <c r="A132" s="40"/>
      <c r="B132" s="37">
        <f>+B130-B131</f>
        <v>0</v>
      </c>
      <c r="C132" s="37" t="e">
        <f>+C130-C131</f>
        <v>#REF!</v>
      </c>
      <c r="D132" s="37" t="e">
        <f>SUM(B132:C132)</f>
        <v>#REF!</v>
      </c>
      <c r="E132" s="34"/>
      <c r="F132" s="40"/>
      <c r="G132" s="37">
        <f>+G130-G131</f>
        <v>0</v>
      </c>
      <c r="H132" s="37" t="e">
        <f>+H130-H131</f>
        <v>#REF!</v>
      </c>
      <c r="I132" s="37" t="e">
        <f>SUM(G132:H132)</f>
        <v>#REF!</v>
      </c>
      <c r="J132" s="95">
        <v>0.15</v>
      </c>
    </row>
    <row r="133" spans="1:14" x14ac:dyDescent="0.3">
      <c r="A133" s="32" t="s">
        <v>1123</v>
      </c>
      <c r="B133" s="33"/>
      <c r="C133" s="33"/>
      <c r="D133" s="33" t="e">
        <f>+D132/1</f>
        <v>#REF!</v>
      </c>
      <c r="E133" s="34" t="e">
        <f>+D133*0.15</f>
        <v>#REF!</v>
      </c>
      <c r="F133" s="32" t="s">
        <v>1123</v>
      </c>
      <c r="G133" s="33"/>
      <c r="H133" s="33"/>
      <c r="I133" s="33" t="e">
        <f>+I132/1</f>
        <v>#REF!</v>
      </c>
      <c r="J133" s="37" t="e">
        <f>+I133*0.15</f>
        <v>#REF!</v>
      </c>
      <c r="K133" s="1">
        <v>0</v>
      </c>
    </row>
    <row r="134" spans="1:14" x14ac:dyDescent="0.3">
      <c r="A134" s="35" t="s">
        <v>1126</v>
      </c>
      <c r="B134" s="37"/>
      <c r="C134" s="37">
        <v>598107</v>
      </c>
      <c r="D134" s="37">
        <v>0</v>
      </c>
      <c r="E134" s="90" t="s">
        <v>1125</v>
      </c>
      <c r="F134" s="35" t="s">
        <v>1126</v>
      </c>
      <c r="G134" s="37"/>
      <c r="H134" s="37">
        <f>+K156/12</f>
        <v>1455332.1666666667</v>
      </c>
      <c r="I134" s="37">
        <f>6488204/12</f>
        <v>540683.66666666663</v>
      </c>
      <c r="J134" s="65"/>
    </row>
    <row r="135" spans="1:14" x14ac:dyDescent="0.3">
      <c r="A135" s="35" t="s">
        <v>1127</v>
      </c>
      <c r="B135" s="37"/>
      <c r="C135" s="37"/>
      <c r="D135" s="37" t="e">
        <f>+#REF!</f>
        <v>#REF!</v>
      </c>
      <c r="E135" s="90"/>
      <c r="F135" s="35" t="s">
        <v>1127</v>
      </c>
      <c r="G135" s="37"/>
      <c r="H135" s="37"/>
      <c r="I135" s="37" t="e">
        <f>+#REF!</f>
        <v>#REF!</v>
      </c>
      <c r="J135" s="90"/>
    </row>
    <row r="136" spans="1:14" x14ac:dyDescent="0.3">
      <c r="A136" s="32" t="s">
        <v>1128</v>
      </c>
      <c r="B136" s="33"/>
      <c r="C136" s="33"/>
      <c r="D136" s="33" t="e">
        <f>+D133-D134-D135</f>
        <v>#REF!</v>
      </c>
      <c r="E136" s="34"/>
      <c r="F136" s="32" t="s">
        <v>1128</v>
      </c>
      <c r="G136" s="33"/>
      <c r="H136" s="33"/>
      <c r="I136" s="33" t="e">
        <f>+I133-I134-I135</f>
        <v>#REF!</v>
      </c>
      <c r="J136" s="34"/>
    </row>
    <row r="137" spans="1:14" x14ac:dyDescent="0.3">
      <c r="A137" s="32" t="s">
        <v>1129</v>
      </c>
      <c r="B137" s="41"/>
      <c r="C137" s="41"/>
      <c r="D137" s="41"/>
      <c r="E137" s="34"/>
      <c r="F137" s="32" t="s">
        <v>1129</v>
      </c>
      <c r="G137" s="41"/>
      <c r="H137" s="41"/>
      <c r="I137" s="41"/>
      <c r="J137" s="34"/>
    </row>
    <row r="138" spans="1:14" ht="14" thickBot="1" x14ac:dyDescent="0.35">
      <c r="A138" s="43"/>
      <c r="B138" s="44"/>
      <c r="C138" s="44"/>
      <c r="D138" s="44"/>
      <c r="E138" s="45"/>
      <c r="F138" s="76"/>
      <c r="G138" s="77"/>
      <c r="H138" s="77"/>
      <c r="I138" s="77"/>
      <c r="J138" s="78"/>
    </row>
    <row r="139" spans="1:14" x14ac:dyDescent="0.3">
      <c r="A139" s="32" t="s">
        <v>1128</v>
      </c>
      <c r="B139" s="33">
        <f>D137</f>
        <v>0</v>
      </c>
      <c r="C139" s="31"/>
      <c r="D139" s="47" t="s">
        <v>1130</v>
      </c>
      <c r="E139" s="73">
        <v>24555</v>
      </c>
      <c r="F139" s="79" t="s">
        <v>1128</v>
      </c>
      <c r="G139" s="80">
        <f>I137</f>
        <v>0</v>
      </c>
      <c r="H139" s="81"/>
      <c r="I139" s="82" t="s">
        <v>1130</v>
      </c>
      <c r="J139" s="83">
        <v>24555</v>
      </c>
    </row>
    <row r="140" spans="1:14" ht="14" thickBot="1" x14ac:dyDescent="0.35">
      <c r="A140" s="32" t="s">
        <v>1158</v>
      </c>
      <c r="B140" s="46" t="e">
        <f>(101-E141)*19%</f>
        <v>#REF!</v>
      </c>
      <c r="C140" s="46" t="e">
        <f>+B140</f>
        <v>#REF!</v>
      </c>
      <c r="D140" s="46"/>
      <c r="E140" s="74" t="e">
        <f>+D136</f>
        <v>#REF!</v>
      </c>
      <c r="F140" s="84" t="s">
        <v>1159</v>
      </c>
      <c r="G140" s="46" t="e">
        <f>(+J141-95)*19%</f>
        <v>#REF!</v>
      </c>
      <c r="H140" s="46"/>
      <c r="I140" s="46"/>
      <c r="J140" s="85" t="e">
        <f>+I136</f>
        <v>#REF!</v>
      </c>
      <c r="L140" s="6" t="e">
        <f>+#REF!+I119</f>
        <v>#REF!</v>
      </c>
      <c r="N140" s="6"/>
    </row>
    <row r="141" spans="1:14" ht="15.5" thickBot="1" x14ac:dyDescent="0.35">
      <c r="A141" s="50" t="s">
        <v>1160</v>
      </c>
      <c r="B141" s="42"/>
      <c r="C141" s="61" t="e">
        <f>IF(B140&gt;0,ROUND(E139*B140,-3),0)</f>
        <v>#REF!</v>
      </c>
      <c r="D141" s="51" t="e">
        <f>+C141</f>
        <v>#REF!</v>
      </c>
      <c r="E141" s="75" t="e">
        <f>ROUND(E140/E139,0)</f>
        <v>#REF!</v>
      </c>
      <c r="F141" s="50" t="s">
        <v>1151</v>
      </c>
      <c r="G141" s="42"/>
      <c r="H141" s="61" t="e">
        <f>IF(G140&gt;0,ROUND(J139*G140,-3),0)</f>
        <v>#REF!</v>
      </c>
      <c r="I141" s="68" t="e">
        <f>+H141</f>
        <v>#REF!</v>
      </c>
      <c r="J141" s="86" t="e">
        <f>ROUND(J140/J139,0)</f>
        <v>#REF!</v>
      </c>
    </row>
    <row r="142" spans="1:14" ht="14" thickBot="1" x14ac:dyDescent="0.35">
      <c r="A142" s="53"/>
      <c r="B142" s="131" t="s">
        <v>1134</v>
      </c>
      <c r="C142" s="62" t="e">
        <f>ROUND(+D136*0.1003,-3)</f>
        <v>#REF!</v>
      </c>
      <c r="D142" s="54"/>
      <c r="E142" s="54"/>
      <c r="F142" s="53"/>
      <c r="G142" s="131" t="s">
        <v>1134</v>
      </c>
      <c r="H142" s="62" t="e">
        <f>ROUND(+I136*0.0135,-3)</f>
        <v>#REF!</v>
      </c>
      <c r="I142" s="87"/>
      <c r="J142" s="88"/>
    </row>
    <row r="143" spans="1:14" ht="14" thickBot="1" x14ac:dyDescent="0.35">
      <c r="C143" s="6"/>
      <c r="H143" s="6"/>
    </row>
    <row r="144" spans="1:14" x14ac:dyDescent="0.3">
      <c r="A144" s="64" t="e">
        <f>+#REF!</f>
        <v>#REF!</v>
      </c>
      <c r="B144" s="28"/>
      <c r="C144" s="29"/>
      <c r="D144" s="29"/>
      <c r="E144" s="30"/>
      <c r="F144" s="64" t="e">
        <f>+#REF!</f>
        <v>#REF!</v>
      </c>
      <c r="G144" s="28"/>
      <c r="H144" s="29"/>
      <c r="I144" s="29"/>
      <c r="J144" s="30"/>
    </row>
    <row r="145" spans="1:14" x14ac:dyDescent="0.3">
      <c r="A145" s="32" t="s">
        <v>1113</v>
      </c>
      <c r="B145" s="33"/>
      <c r="C145" s="31"/>
      <c r="D145" s="31"/>
      <c r="E145" s="34"/>
      <c r="F145" s="32" t="s">
        <v>1113</v>
      </c>
      <c r="G145" s="33"/>
      <c r="H145" s="31"/>
      <c r="I145" s="31"/>
      <c r="J145" s="34"/>
    </row>
    <row r="146" spans="1:14" x14ac:dyDescent="0.3">
      <c r="A146" s="35"/>
      <c r="B146" s="36"/>
      <c r="C146" s="36"/>
      <c r="D146" s="31"/>
      <c r="E146" s="34"/>
      <c r="F146" s="35"/>
      <c r="G146" s="36"/>
      <c r="H146" s="36"/>
      <c r="I146" s="31"/>
      <c r="J146" s="34"/>
    </row>
    <row r="147" spans="1:14" x14ac:dyDescent="0.3">
      <c r="A147" s="35" t="s">
        <v>1115</v>
      </c>
      <c r="B147" s="37"/>
      <c r="C147" s="38" t="e">
        <f>+#REF!</f>
        <v>#REF!</v>
      </c>
      <c r="D147" s="31"/>
      <c r="E147" s="34"/>
      <c r="F147" s="35" t="s">
        <v>1115</v>
      </c>
      <c r="G147" s="37"/>
      <c r="H147" s="38" t="e">
        <f>+#REF!</f>
        <v>#REF!</v>
      </c>
      <c r="I147" s="31"/>
      <c r="J147" s="34"/>
    </row>
    <row r="148" spans="1:14" x14ac:dyDescent="0.3">
      <c r="A148" s="35" t="s">
        <v>1116</v>
      </c>
      <c r="B148" s="37"/>
      <c r="C148" s="38">
        <v>0</v>
      </c>
      <c r="D148" s="31"/>
      <c r="E148" s="34"/>
      <c r="F148" s="35" t="s">
        <v>1116</v>
      </c>
      <c r="G148" s="37"/>
      <c r="H148" s="38">
        <v>0</v>
      </c>
      <c r="I148" s="31"/>
      <c r="J148" s="34"/>
    </row>
    <row r="149" spans="1:14" x14ac:dyDescent="0.3">
      <c r="A149" s="32" t="s">
        <v>1117</v>
      </c>
      <c r="B149" s="33">
        <f>SUM(B147:B148)</f>
        <v>0</v>
      </c>
      <c r="C149" s="33" t="e">
        <f>SUM(C147:C148)</f>
        <v>#REF!</v>
      </c>
      <c r="D149" s="31"/>
      <c r="E149" s="34"/>
      <c r="F149" s="32" t="s">
        <v>1117</v>
      </c>
      <c r="G149" s="33">
        <f>SUM(G147:G148)</f>
        <v>0</v>
      </c>
      <c r="H149" s="33" t="e">
        <f>#REF!</f>
        <v>#REF!</v>
      </c>
      <c r="I149" s="42"/>
      <c r="J149" s="34"/>
    </row>
    <row r="150" spans="1:14" x14ac:dyDescent="0.3">
      <c r="A150" s="35" t="s">
        <v>1118</v>
      </c>
      <c r="B150" s="37"/>
      <c r="C150" s="38" t="e">
        <f>+#REF!</f>
        <v>#REF!</v>
      </c>
      <c r="D150" s="31"/>
      <c r="E150" s="34"/>
      <c r="F150" s="35" t="s">
        <v>1118</v>
      </c>
      <c r="G150" s="37"/>
      <c r="H150" s="38">
        <v>467000</v>
      </c>
      <c r="I150" s="31"/>
      <c r="J150" s="34"/>
    </row>
    <row r="151" spans="1:14" x14ac:dyDescent="0.3">
      <c r="A151" s="35" t="s">
        <v>1119</v>
      </c>
      <c r="B151" s="37"/>
      <c r="C151" s="38" t="e">
        <f>+#REF!</f>
        <v>#REF!</v>
      </c>
      <c r="D151" s="31"/>
      <c r="E151" s="34"/>
      <c r="F151" s="35" t="s">
        <v>1119</v>
      </c>
      <c r="G151" s="37"/>
      <c r="H151" s="38">
        <v>233500</v>
      </c>
      <c r="I151" s="31"/>
      <c r="J151" s="34"/>
    </row>
    <row r="152" spans="1:14" x14ac:dyDescent="0.3">
      <c r="A152" s="35" t="s">
        <v>1120</v>
      </c>
      <c r="B152" s="37"/>
      <c r="C152" s="38">
        <v>0</v>
      </c>
      <c r="D152" s="31"/>
      <c r="E152" s="34"/>
      <c r="F152" s="35" t="s">
        <v>1120</v>
      </c>
      <c r="G152" s="37"/>
      <c r="H152" s="38"/>
      <c r="I152" s="31"/>
      <c r="J152" s="34"/>
    </row>
    <row r="153" spans="1:14" x14ac:dyDescent="0.3">
      <c r="A153" s="32" t="s">
        <v>1121</v>
      </c>
      <c r="B153" s="33">
        <f>+B149-B150-B151-B152</f>
        <v>0</v>
      </c>
      <c r="C153" s="33" t="e">
        <f>+C149-C150-C151-C152</f>
        <v>#REF!</v>
      </c>
      <c r="D153" s="31"/>
      <c r="E153" s="34"/>
      <c r="F153" s="32" t="s">
        <v>1121</v>
      </c>
      <c r="G153" s="33">
        <f>+G149-G150-G151-G152</f>
        <v>0</v>
      </c>
      <c r="H153" s="33" t="e">
        <f>+H149-H150-H151-H152</f>
        <v>#REF!</v>
      </c>
      <c r="I153" s="31"/>
      <c r="J153" s="34"/>
    </row>
    <row r="154" spans="1:14" x14ac:dyDescent="0.3">
      <c r="A154" s="40" t="s">
        <v>1122</v>
      </c>
      <c r="B154" s="37">
        <f>+B153*0.3</f>
        <v>0</v>
      </c>
      <c r="C154" s="37" t="e">
        <f>+C153*0.25</f>
        <v>#REF!</v>
      </c>
      <c r="D154" s="37"/>
      <c r="E154" s="34"/>
      <c r="F154" s="40" t="s">
        <v>1122</v>
      </c>
      <c r="G154" s="37">
        <f>+G153*0.3</f>
        <v>0</v>
      </c>
      <c r="H154" s="37" t="e">
        <f>+H153*0.25</f>
        <v>#REF!</v>
      </c>
      <c r="I154" s="37"/>
      <c r="J154" s="34"/>
    </row>
    <row r="155" spans="1:14" x14ac:dyDescent="0.3">
      <c r="A155" s="40"/>
      <c r="B155" s="37">
        <f>+B153-B154</f>
        <v>0</v>
      </c>
      <c r="C155" s="37" t="e">
        <f>+C153-C154</f>
        <v>#REF!</v>
      </c>
      <c r="D155" s="37" t="e">
        <f>SUM(B155:C155)</f>
        <v>#REF!</v>
      </c>
      <c r="E155" s="34"/>
      <c r="F155" s="40"/>
      <c r="G155" s="37">
        <f>+G153-G154</f>
        <v>0</v>
      </c>
      <c r="H155" s="37" t="e">
        <f>+H153-H154</f>
        <v>#REF!</v>
      </c>
      <c r="I155" s="37" t="e">
        <f>SUM(G155:H155)</f>
        <v>#REF!</v>
      </c>
      <c r="J155" s="34"/>
      <c r="K155" s="1">
        <f>+J139*100</f>
        <v>2455500</v>
      </c>
    </row>
    <row r="156" spans="1:14" x14ac:dyDescent="0.3">
      <c r="A156" s="32" t="s">
        <v>1123</v>
      </c>
      <c r="B156" s="33"/>
      <c r="C156" s="33"/>
      <c r="D156" s="33" t="e">
        <f>+D155/1</f>
        <v>#REF!</v>
      </c>
      <c r="E156" s="34"/>
      <c r="F156" s="32" t="s">
        <v>1123</v>
      </c>
      <c r="G156" s="33"/>
      <c r="H156" s="33"/>
      <c r="I156" s="33" t="e">
        <f>+I155/1</f>
        <v>#REF!</v>
      </c>
      <c r="J156" s="34"/>
      <c r="K156" s="1">
        <f>11599666+5864320</f>
        <v>17463986</v>
      </c>
      <c r="N156" s="1" t="s">
        <v>1161</v>
      </c>
    </row>
    <row r="157" spans="1:14" x14ac:dyDescent="0.3">
      <c r="A157" s="35" t="s">
        <v>1126</v>
      </c>
      <c r="B157" s="37"/>
      <c r="C157" s="37"/>
      <c r="D157" s="37">
        <v>0</v>
      </c>
      <c r="E157" s="90" t="s">
        <v>1125</v>
      </c>
      <c r="F157" s="35" t="s">
        <v>1126</v>
      </c>
      <c r="G157" s="37"/>
      <c r="H157" s="153">
        <v>2802263</v>
      </c>
      <c r="I157" s="37">
        <f>+H157</f>
        <v>2802263</v>
      </c>
      <c r="J157" s="90" t="s">
        <v>1125</v>
      </c>
    </row>
    <row r="158" spans="1:14" x14ac:dyDescent="0.3">
      <c r="A158" s="35" t="s">
        <v>1127</v>
      </c>
      <c r="B158" s="37"/>
      <c r="C158" s="37"/>
      <c r="D158" s="37" t="e">
        <f>+#REF!</f>
        <v>#REF!</v>
      </c>
      <c r="E158" s="90"/>
      <c r="F158" s="35" t="s">
        <v>1127</v>
      </c>
      <c r="G158" s="37"/>
      <c r="H158" s="37"/>
      <c r="I158" s="37">
        <v>467000</v>
      </c>
      <c r="J158" s="90"/>
      <c r="K158" s="1">
        <f>6751927/12</f>
        <v>562660.58333333337</v>
      </c>
    </row>
    <row r="159" spans="1:14" x14ac:dyDescent="0.3">
      <c r="A159" s="32" t="s">
        <v>1128</v>
      </c>
      <c r="B159" s="33"/>
      <c r="C159" s="33"/>
      <c r="D159" s="33" t="e">
        <f>+D156-D157-D158</f>
        <v>#REF!</v>
      </c>
      <c r="E159" s="34"/>
      <c r="F159" s="32" t="s">
        <v>1128</v>
      </c>
      <c r="G159" s="33"/>
      <c r="H159" s="33"/>
      <c r="I159" s="33" t="e">
        <f>+I156-I157-I158</f>
        <v>#REF!</v>
      </c>
      <c r="J159" s="34"/>
    </row>
    <row r="160" spans="1:14" x14ac:dyDescent="0.3">
      <c r="A160" s="32" t="s">
        <v>1129</v>
      </c>
      <c r="B160" s="41"/>
      <c r="C160" s="41"/>
      <c r="D160" s="41"/>
      <c r="E160" s="34"/>
      <c r="F160" s="32" t="s">
        <v>1129</v>
      </c>
      <c r="G160" s="41"/>
      <c r="H160" s="41"/>
      <c r="I160" s="41"/>
      <c r="J160" s="34"/>
      <c r="L160" s="1" t="e">
        <f>I156*30%</f>
        <v>#REF!</v>
      </c>
    </row>
    <row r="161" spans="1:12" ht="14" thickBot="1" x14ac:dyDescent="0.35">
      <c r="A161" s="43"/>
      <c r="B161" s="44"/>
      <c r="C161" s="44"/>
      <c r="D161" s="44"/>
      <c r="E161" s="44"/>
      <c r="F161" s="138"/>
      <c r="G161" s="139"/>
      <c r="H161" s="139"/>
      <c r="I161" s="139"/>
      <c r="J161" s="140"/>
    </row>
    <row r="162" spans="1:12" x14ac:dyDescent="0.3">
      <c r="A162" s="32" t="s">
        <v>1128</v>
      </c>
      <c r="B162" s="33">
        <f>D160</f>
        <v>0</v>
      </c>
      <c r="C162" s="31"/>
      <c r="D162" s="47" t="s">
        <v>1130</v>
      </c>
      <c r="E162" s="73">
        <v>24555</v>
      </c>
      <c r="F162" s="141" t="s">
        <v>1128</v>
      </c>
      <c r="G162" s="33">
        <f>I160</f>
        <v>0</v>
      </c>
      <c r="H162" s="31"/>
      <c r="I162" s="47" t="s">
        <v>1130</v>
      </c>
      <c r="J162" s="142">
        <v>24555</v>
      </c>
      <c r="L162" s="6"/>
    </row>
    <row r="163" spans="1:12" ht="14" thickBot="1" x14ac:dyDescent="0.35">
      <c r="A163" s="32" t="s">
        <v>1162</v>
      </c>
      <c r="B163" s="46" t="e">
        <f>(+E164-95)*19%</f>
        <v>#REF!</v>
      </c>
      <c r="C163" s="46" t="e">
        <f>+B163</f>
        <v>#REF!</v>
      </c>
      <c r="D163" s="46"/>
      <c r="E163" s="74" t="e">
        <f>+D159</f>
        <v>#REF!</v>
      </c>
      <c r="F163" s="141" t="s">
        <v>1163</v>
      </c>
      <c r="G163" s="46" t="e">
        <f>((+J164-150)*28%)+10</f>
        <v>#REF!</v>
      </c>
      <c r="H163" s="46" t="e">
        <f>+G163</f>
        <v>#REF!</v>
      </c>
      <c r="I163" s="46"/>
      <c r="J163" s="143" t="e">
        <f>+I159</f>
        <v>#REF!</v>
      </c>
      <c r="L163" s="6"/>
    </row>
    <row r="164" spans="1:12" ht="18" thickBot="1" x14ac:dyDescent="0.4">
      <c r="A164" s="50" t="s">
        <v>1164</v>
      </c>
      <c r="B164" s="42">
        <v>24555</v>
      </c>
      <c r="C164" s="61" t="e">
        <f>IF(C163&gt;0,ROUND(B164*C163,-2),0)</f>
        <v>#REF!</v>
      </c>
      <c r="D164" s="51" t="e">
        <f>+C164</f>
        <v>#REF!</v>
      </c>
      <c r="E164" s="75" t="e">
        <f>ROUND(E163/E162,0)</f>
        <v>#REF!</v>
      </c>
      <c r="F164" s="144" t="s">
        <v>1165</v>
      </c>
      <c r="G164" s="42">
        <v>24555</v>
      </c>
      <c r="H164" s="61" t="e">
        <f>IF(H163&gt;0,ROUND(G164*H163,-2),0)</f>
        <v>#REF!</v>
      </c>
      <c r="I164" s="51" t="e">
        <f>+H164</f>
        <v>#REF!</v>
      </c>
      <c r="J164" s="154" t="e">
        <f>ROUND(J163/J162,0)</f>
        <v>#REF!</v>
      </c>
      <c r="K164" s="2"/>
      <c r="L164" s="6" t="e">
        <f>+I164-898000</f>
        <v>#REF!</v>
      </c>
    </row>
    <row r="165" spans="1:12" ht="14" thickBot="1" x14ac:dyDescent="0.35">
      <c r="B165" s="131" t="s">
        <v>1134</v>
      </c>
      <c r="C165" s="62">
        <v>0</v>
      </c>
      <c r="F165" s="146"/>
      <c r="G165" s="136" t="s">
        <v>1166</v>
      </c>
      <c r="H165" s="137">
        <v>0</v>
      </c>
      <c r="I165" s="135"/>
      <c r="J165" s="147"/>
    </row>
    <row r="166" spans="1:12" ht="14" thickBot="1" x14ac:dyDescent="0.35">
      <c r="C166" s="6"/>
    </row>
    <row r="167" spans="1:12" x14ac:dyDescent="0.3">
      <c r="A167" s="64" t="e">
        <f>+#REF!</f>
        <v>#REF!</v>
      </c>
      <c r="B167" s="28"/>
      <c r="C167" s="29"/>
      <c r="D167" s="29"/>
      <c r="E167" s="30"/>
      <c r="F167" s="64" t="e">
        <f>+#REF!</f>
        <v>#REF!</v>
      </c>
      <c r="G167" s="28"/>
      <c r="H167" s="29"/>
      <c r="I167" s="29"/>
      <c r="J167" s="30"/>
    </row>
    <row r="168" spans="1:12" x14ac:dyDescent="0.3">
      <c r="A168" s="32" t="s">
        <v>1113</v>
      </c>
      <c r="B168" s="33"/>
      <c r="C168" s="31"/>
      <c r="D168" s="31"/>
      <c r="E168" s="34"/>
      <c r="F168" s="32" t="s">
        <v>1113</v>
      </c>
      <c r="G168" s="33"/>
      <c r="H168" s="31"/>
      <c r="I168" s="31"/>
      <c r="J168" s="34"/>
    </row>
    <row r="169" spans="1:12" x14ac:dyDescent="0.3">
      <c r="A169" s="35"/>
      <c r="B169" s="36"/>
      <c r="C169" s="36"/>
      <c r="D169" s="31"/>
      <c r="E169" s="34"/>
      <c r="F169" s="35"/>
      <c r="G169" s="36"/>
      <c r="H169" s="36"/>
      <c r="I169" s="31"/>
      <c r="J169" s="34"/>
    </row>
    <row r="170" spans="1:12" x14ac:dyDescent="0.3">
      <c r="A170" s="35" t="s">
        <v>1115</v>
      </c>
      <c r="B170" s="37"/>
      <c r="C170" s="38" t="e">
        <f>+#REF!</f>
        <v>#REF!</v>
      </c>
      <c r="D170" s="31"/>
      <c r="E170" s="34"/>
      <c r="F170" s="35" t="s">
        <v>1115</v>
      </c>
      <c r="G170" s="37"/>
      <c r="H170" s="38" t="e">
        <f>+#REF!</f>
        <v>#REF!</v>
      </c>
      <c r="I170" s="31"/>
      <c r="J170" s="34"/>
    </row>
    <row r="171" spans="1:12" x14ac:dyDescent="0.3">
      <c r="A171" s="35" t="s">
        <v>1116</v>
      </c>
      <c r="B171" s="37"/>
      <c r="C171" s="38">
        <v>0</v>
      </c>
      <c r="D171" s="31"/>
      <c r="E171" s="34"/>
      <c r="F171" s="35" t="s">
        <v>1116</v>
      </c>
      <c r="G171" s="37"/>
      <c r="H171" s="38">
        <v>0</v>
      </c>
      <c r="I171" s="31"/>
      <c r="J171" s="34"/>
    </row>
    <row r="172" spans="1:12" x14ac:dyDescent="0.3">
      <c r="A172" s="32" t="s">
        <v>1117</v>
      </c>
      <c r="B172" s="33">
        <f>SUM(B170:B171)</f>
        <v>0</v>
      </c>
      <c r="C172" s="33" t="e">
        <f>SUM(C170:C171)</f>
        <v>#REF!</v>
      </c>
      <c r="D172" s="31"/>
      <c r="E172" s="34"/>
      <c r="F172" s="32" t="s">
        <v>1117</v>
      </c>
      <c r="G172" s="33">
        <f>SUM(G170:G171)</f>
        <v>0</v>
      </c>
      <c r="H172" s="33" t="e">
        <f>SUM(H170:H171)</f>
        <v>#REF!</v>
      </c>
      <c r="I172" s="31"/>
      <c r="J172" s="34"/>
    </row>
    <row r="173" spans="1:12" x14ac:dyDescent="0.3">
      <c r="A173" s="35" t="s">
        <v>1118</v>
      </c>
      <c r="B173" s="37"/>
      <c r="C173" s="38" t="e">
        <f>+#REF!</f>
        <v>#REF!</v>
      </c>
      <c r="D173" s="31"/>
      <c r="E173" s="34"/>
      <c r="F173" s="35" t="s">
        <v>1118</v>
      </c>
      <c r="G173" s="37"/>
      <c r="H173" s="38" t="e">
        <f>+#REF!</f>
        <v>#REF!</v>
      </c>
      <c r="I173" s="31"/>
      <c r="J173" s="34"/>
    </row>
    <row r="174" spans="1:12" x14ac:dyDescent="0.3">
      <c r="A174" s="35" t="s">
        <v>1119</v>
      </c>
      <c r="B174" s="37"/>
      <c r="C174" s="38" t="e">
        <f>+#REF!</f>
        <v>#REF!</v>
      </c>
      <c r="D174" s="31"/>
      <c r="E174" s="34"/>
      <c r="F174" s="35" t="s">
        <v>1119</v>
      </c>
      <c r="G174" s="37"/>
      <c r="H174" s="38" t="e">
        <f>+#REF!</f>
        <v>#REF!</v>
      </c>
      <c r="I174" s="31"/>
      <c r="J174" s="34"/>
    </row>
    <row r="175" spans="1:12" x14ac:dyDescent="0.3">
      <c r="A175" s="35" t="s">
        <v>1120</v>
      </c>
      <c r="B175" s="37"/>
      <c r="C175" s="38">
        <v>0</v>
      </c>
      <c r="D175" s="31"/>
      <c r="E175" s="34"/>
      <c r="F175" s="35" t="s">
        <v>1120</v>
      </c>
      <c r="G175" s="37"/>
      <c r="H175" s="38">
        <v>0</v>
      </c>
      <c r="I175" s="31"/>
      <c r="J175" s="34"/>
    </row>
    <row r="176" spans="1:12" x14ac:dyDescent="0.3">
      <c r="A176" s="32" t="s">
        <v>1121</v>
      </c>
      <c r="B176" s="33">
        <f>+B172-B173-B174-B175</f>
        <v>0</v>
      </c>
      <c r="C176" s="33" t="e">
        <f>+C172-C173-C174-C175</f>
        <v>#REF!</v>
      </c>
      <c r="D176" s="31"/>
      <c r="E176" s="34"/>
      <c r="F176" s="32" t="s">
        <v>1121</v>
      </c>
      <c r="G176" s="33">
        <f>+G172-G173-G174-G175</f>
        <v>0</v>
      </c>
      <c r="H176" s="33" t="e">
        <f>+H172-H173-H174-H175</f>
        <v>#REF!</v>
      </c>
      <c r="I176" s="31"/>
      <c r="J176" s="34"/>
    </row>
    <row r="177" spans="1:16" x14ac:dyDescent="0.3">
      <c r="A177" s="40" t="s">
        <v>1122</v>
      </c>
      <c r="B177" s="37">
        <f>+B176*0.3</f>
        <v>0</v>
      </c>
      <c r="C177" s="37" t="e">
        <f>+C176*0.25</f>
        <v>#REF!</v>
      </c>
      <c r="D177" s="37"/>
      <c r="E177" s="34"/>
      <c r="F177" s="40" t="s">
        <v>1122</v>
      </c>
      <c r="G177" s="37">
        <f>+G176*0.3</f>
        <v>0</v>
      </c>
      <c r="H177" s="37" t="e">
        <f>+H176*0.25</f>
        <v>#REF!</v>
      </c>
      <c r="I177" s="37"/>
      <c r="J177" s="34"/>
    </row>
    <row r="178" spans="1:16" x14ac:dyDescent="0.3">
      <c r="A178" s="40"/>
      <c r="B178" s="37">
        <f>+B176-B177</f>
        <v>0</v>
      </c>
      <c r="C178" s="37" t="e">
        <f>+C176-C177</f>
        <v>#REF!</v>
      </c>
      <c r="D178" s="37" t="e">
        <f>SUM(B178:C178)</f>
        <v>#REF!</v>
      </c>
      <c r="E178" s="34"/>
      <c r="F178" s="40"/>
      <c r="G178" s="37">
        <f>+G176-G177</f>
        <v>0</v>
      </c>
      <c r="H178" s="37" t="e">
        <f>+H176-H177</f>
        <v>#REF!</v>
      </c>
      <c r="I178" s="37" t="e">
        <f>SUM(G178:H178)</f>
        <v>#REF!</v>
      </c>
      <c r="J178" s="34"/>
    </row>
    <row r="179" spans="1:16" x14ac:dyDescent="0.3">
      <c r="A179" s="32" t="s">
        <v>1123</v>
      </c>
      <c r="B179" s="33"/>
      <c r="C179" s="33"/>
      <c r="D179" s="33" t="e">
        <f>+D178/1</f>
        <v>#REF!</v>
      </c>
      <c r="E179" s="34"/>
      <c r="F179" s="32" t="s">
        <v>1123</v>
      </c>
      <c r="G179" s="33"/>
      <c r="H179" s="33"/>
      <c r="I179" s="33" t="e">
        <f>+I178/1</f>
        <v>#REF!</v>
      </c>
      <c r="J179" s="34"/>
      <c r="K179" s="1">
        <v>7746808</v>
      </c>
    </row>
    <row r="180" spans="1:16" x14ac:dyDescent="0.3">
      <c r="A180" s="35" t="s">
        <v>1126</v>
      </c>
      <c r="B180" s="37"/>
      <c r="C180" s="37"/>
      <c r="D180" s="37">
        <v>0</v>
      </c>
      <c r="E180" s="90" t="s">
        <v>1125</v>
      </c>
      <c r="F180" s="35" t="s">
        <v>1126</v>
      </c>
      <c r="G180" s="37"/>
      <c r="H180" s="37"/>
      <c r="I180" s="37">
        <f>1738679/12</f>
        <v>144889.91666666666</v>
      </c>
      <c r="J180" s="90" t="s">
        <v>1125</v>
      </c>
    </row>
    <row r="181" spans="1:16" x14ac:dyDescent="0.3">
      <c r="A181" s="35" t="s">
        <v>1127</v>
      </c>
      <c r="B181" s="37"/>
      <c r="C181" s="37"/>
      <c r="D181" s="37" t="e">
        <f>+#REF!</f>
        <v>#REF!</v>
      </c>
      <c r="E181" s="90"/>
      <c r="F181" s="35" t="s">
        <v>1127</v>
      </c>
      <c r="G181" s="37"/>
      <c r="H181" s="37"/>
      <c r="I181" s="37" t="e">
        <f>+#REF!</f>
        <v>#REF!</v>
      </c>
      <c r="J181" s="90"/>
    </row>
    <row r="182" spans="1:16" x14ac:dyDescent="0.3">
      <c r="A182" s="32" t="s">
        <v>1128</v>
      </c>
      <c r="B182" s="33"/>
      <c r="C182" s="33"/>
      <c r="D182" s="33" t="e">
        <f>+D179-D180-D181</f>
        <v>#REF!</v>
      </c>
      <c r="E182" s="34"/>
      <c r="F182" s="32" t="s">
        <v>1128</v>
      </c>
      <c r="G182" s="33"/>
      <c r="H182" s="33"/>
      <c r="I182" s="33" t="e">
        <f>+I179-I180-I181</f>
        <v>#REF!</v>
      </c>
      <c r="J182" s="34"/>
    </row>
    <row r="183" spans="1:16" x14ac:dyDescent="0.3">
      <c r="A183" s="32" t="s">
        <v>1129</v>
      </c>
      <c r="B183" s="41"/>
      <c r="C183" s="41"/>
      <c r="D183" s="41"/>
      <c r="E183" s="34"/>
      <c r="F183" s="32" t="s">
        <v>1129</v>
      </c>
      <c r="G183" s="41"/>
      <c r="H183" s="41"/>
      <c r="I183" s="41"/>
      <c r="J183" s="34"/>
    </row>
    <row r="184" spans="1:16" x14ac:dyDescent="0.3">
      <c r="A184" s="76"/>
      <c r="B184" s="77"/>
      <c r="C184" s="77"/>
      <c r="D184" s="77"/>
      <c r="E184" s="78"/>
      <c r="F184" s="76"/>
      <c r="G184" s="77"/>
      <c r="H184" s="77"/>
      <c r="I184" s="77"/>
      <c r="J184" s="78"/>
    </row>
    <row r="185" spans="1:16" x14ac:dyDescent="0.3">
      <c r="A185" s="148" t="s">
        <v>1128</v>
      </c>
      <c r="B185" s="149">
        <f>D183</f>
        <v>0</v>
      </c>
      <c r="C185" s="150"/>
      <c r="D185" s="151" t="s">
        <v>1130</v>
      </c>
      <c r="E185" s="152">
        <v>24555</v>
      </c>
      <c r="F185" s="148" t="s">
        <v>1128</v>
      </c>
      <c r="G185" s="149">
        <f>I183</f>
        <v>0</v>
      </c>
      <c r="H185" s="150"/>
      <c r="I185" s="151" t="s">
        <v>1130</v>
      </c>
      <c r="J185" s="152">
        <v>24555</v>
      </c>
    </row>
    <row r="186" spans="1:16" ht="14" thickBot="1" x14ac:dyDescent="0.35">
      <c r="A186" s="141" t="s">
        <v>1162</v>
      </c>
      <c r="B186" s="46" t="e">
        <f>(+E187-95)*19%</f>
        <v>#REF!</v>
      </c>
      <c r="C186" s="46" t="e">
        <f>+B186</f>
        <v>#REF!</v>
      </c>
      <c r="D186" s="46"/>
      <c r="E186" s="143" t="e">
        <f>+D182</f>
        <v>#REF!</v>
      </c>
      <c r="F186" s="141" t="s">
        <v>1167</v>
      </c>
      <c r="G186" s="46" t="e">
        <f>(+J187-95)*19%</f>
        <v>#REF!</v>
      </c>
      <c r="H186" s="46" t="e">
        <f>+G186</f>
        <v>#REF!</v>
      </c>
      <c r="I186" s="46"/>
      <c r="J186" s="143" t="e">
        <f>+I182</f>
        <v>#REF!</v>
      </c>
      <c r="L186" s="6"/>
    </row>
    <row r="187" spans="1:16" ht="15.5" thickBot="1" x14ac:dyDescent="0.35">
      <c r="A187" s="144" t="s">
        <v>1164</v>
      </c>
      <c r="B187" s="42">
        <v>24555</v>
      </c>
      <c r="C187" s="61" t="e">
        <f>IF(C186&gt;0,ROUND(B187*C186,-2),0)</f>
        <v>#REF!</v>
      </c>
      <c r="D187" s="51" t="e">
        <f>+C187</f>
        <v>#REF!</v>
      </c>
      <c r="E187" s="145" t="e">
        <f>ROUND(E186/E185,0)</f>
        <v>#REF!</v>
      </c>
      <c r="F187" s="144" t="s">
        <v>1164</v>
      </c>
      <c r="G187" s="42">
        <v>24555</v>
      </c>
      <c r="H187" s="61" t="e">
        <f>IF(H186&gt;0,ROUND(G187*H186,-2),0)</f>
        <v>#REF!</v>
      </c>
      <c r="I187" s="51" t="e">
        <f>+H187</f>
        <v>#REF!</v>
      </c>
      <c r="J187" s="145" t="e">
        <f>ROUND(J186/J185,0)</f>
        <v>#REF!</v>
      </c>
      <c r="K187" s="2"/>
      <c r="L187" s="6" t="e">
        <f>+C165+#REF!</f>
        <v>#REF!</v>
      </c>
    </row>
    <row r="188" spans="1:16" ht="14" thickBot="1" x14ac:dyDescent="0.35">
      <c r="A188" s="146"/>
      <c r="B188" s="136" t="s">
        <v>1134</v>
      </c>
      <c r="C188" s="137">
        <v>0</v>
      </c>
      <c r="D188" s="135"/>
      <c r="E188" s="147"/>
      <c r="F188" s="146"/>
      <c r="G188" s="136" t="s">
        <v>1166</v>
      </c>
      <c r="H188" s="137">
        <v>0</v>
      </c>
      <c r="I188" s="135"/>
      <c r="J188" s="147"/>
      <c r="K188" s="2" t="s">
        <v>893</v>
      </c>
      <c r="L188" s="67" t="e">
        <f>SUM(L26:L187)</f>
        <v>#REF!</v>
      </c>
      <c r="N188" s="1">
        <v>2730000</v>
      </c>
      <c r="P188" s="70" t="e">
        <f>+L188-N188</f>
        <v>#REF!</v>
      </c>
    </row>
    <row r="189" spans="1:16" x14ac:dyDescent="0.3">
      <c r="A189" s="64" t="e">
        <f>+#REF!</f>
        <v>#REF!</v>
      </c>
      <c r="B189" s="28"/>
      <c r="C189" s="29"/>
      <c r="D189" s="29"/>
      <c r="E189" s="30"/>
      <c r="F189" s="64" t="e">
        <f>#REF!</f>
        <v>#REF!</v>
      </c>
      <c r="G189" s="28"/>
      <c r="H189" s="29"/>
      <c r="I189" s="29"/>
      <c r="J189" s="30"/>
      <c r="L189" s="6" t="e">
        <f>+L188-#REF!</f>
        <v>#REF!</v>
      </c>
    </row>
    <row r="190" spans="1:16" x14ac:dyDescent="0.3">
      <c r="A190" s="32" t="s">
        <v>1113</v>
      </c>
      <c r="B190" s="33"/>
      <c r="C190" s="31"/>
      <c r="D190" s="31"/>
      <c r="E190" s="34"/>
      <c r="F190" s="32" t="s">
        <v>1113</v>
      </c>
      <c r="G190" s="33"/>
      <c r="H190" s="31"/>
      <c r="I190" s="31"/>
      <c r="J190" s="34"/>
    </row>
    <row r="191" spans="1:16" x14ac:dyDescent="0.3">
      <c r="A191" s="35"/>
      <c r="B191" s="36"/>
      <c r="C191" s="36"/>
      <c r="D191" s="31"/>
      <c r="E191" s="34"/>
      <c r="F191" s="35"/>
      <c r="G191" s="36"/>
      <c r="H191" s="36"/>
      <c r="I191" s="31"/>
      <c r="J191" s="34"/>
    </row>
    <row r="192" spans="1:16" x14ac:dyDescent="0.3">
      <c r="A192" s="35" t="s">
        <v>1115</v>
      </c>
      <c r="B192" s="37"/>
      <c r="C192" s="38" t="e">
        <f>+#REF!</f>
        <v>#REF!</v>
      </c>
      <c r="D192" s="31"/>
      <c r="E192" s="34"/>
      <c r="F192" s="35" t="s">
        <v>1115</v>
      </c>
      <c r="G192" s="37"/>
      <c r="H192" s="38" t="e">
        <f>+#REF!</f>
        <v>#REF!</v>
      </c>
      <c r="I192" s="31"/>
      <c r="J192" s="34"/>
    </row>
    <row r="193" spans="1:10" x14ac:dyDescent="0.3">
      <c r="A193" s="35" t="s">
        <v>1116</v>
      </c>
      <c r="B193" s="37"/>
      <c r="C193" s="38">
        <v>0</v>
      </c>
      <c r="D193" s="31"/>
      <c r="E193" s="34"/>
      <c r="F193" s="35" t="s">
        <v>1116</v>
      </c>
      <c r="G193" s="37"/>
      <c r="H193" s="38">
        <v>0</v>
      </c>
      <c r="I193" s="31"/>
      <c r="J193" s="34"/>
    </row>
    <row r="194" spans="1:10" x14ac:dyDescent="0.3">
      <c r="A194" s="32" t="s">
        <v>1117</v>
      </c>
      <c r="B194" s="33">
        <f>SUM(B192:B193)</f>
        <v>0</v>
      </c>
      <c r="C194" s="33" t="e">
        <f>SUM(C192:C193)</f>
        <v>#REF!</v>
      </c>
      <c r="D194" s="31"/>
      <c r="E194" s="34"/>
      <c r="F194" s="32" t="s">
        <v>1117</v>
      </c>
      <c r="G194" s="33">
        <f>SUM(G192:G193)</f>
        <v>0</v>
      </c>
      <c r="H194" s="33" t="e">
        <f>SUM(H192:H193)</f>
        <v>#REF!</v>
      </c>
      <c r="I194" s="31"/>
      <c r="J194" s="34"/>
    </row>
    <row r="195" spans="1:10" x14ac:dyDescent="0.3">
      <c r="A195" s="35" t="s">
        <v>1118</v>
      </c>
      <c r="B195" s="37"/>
      <c r="C195" s="38" t="e">
        <f>+#REF!</f>
        <v>#REF!</v>
      </c>
      <c r="D195" s="31"/>
      <c r="E195" s="34"/>
      <c r="F195" s="35" t="s">
        <v>1118</v>
      </c>
      <c r="G195" s="37"/>
      <c r="H195" s="38" t="e">
        <f>+#REF!</f>
        <v>#REF!</v>
      </c>
      <c r="I195" s="31"/>
      <c r="J195" s="34"/>
    </row>
    <row r="196" spans="1:10" x14ac:dyDescent="0.3">
      <c r="A196" s="35" t="s">
        <v>1119</v>
      </c>
      <c r="B196" s="37"/>
      <c r="C196" s="38" t="e">
        <f>+#REF!</f>
        <v>#REF!</v>
      </c>
      <c r="D196" s="31"/>
      <c r="E196" s="34"/>
      <c r="F196" s="35" t="s">
        <v>1119</v>
      </c>
      <c r="G196" s="37"/>
      <c r="H196" s="38" t="e">
        <f>+#REF!</f>
        <v>#REF!</v>
      </c>
      <c r="I196" s="31"/>
      <c r="J196" s="34"/>
    </row>
    <row r="197" spans="1:10" x14ac:dyDescent="0.3">
      <c r="A197" s="35" t="s">
        <v>1120</v>
      </c>
      <c r="B197" s="37"/>
      <c r="C197" s="38">
        <v>0</v>
      </c>
      <c r="D197" s="31"/>
      <c r="E197" s="34"/>
      <c r="F197" s="35" t="s">
        <v>1120</v>
      </c>
      <c r="G197" s="37"/>
      <c r="H197" s="38">
        <v>0</v>
      </c>
      <c r="I197" s="31"/>
      <c r="J197" s="34"/>
    </row>
    <row r="198" spans="1:10" x14ac:dyDescent="0.3">
      <c r="A198" s="32" t="s">
        <v>1121</v>
      </c>
      <c r="B198" s="33">
        <f>+B194-B195-B196-B197</f>
        <v>0</v>
      </c>
      <c r="C198" s="33" t="e">
        <f>+C194-C195-C196-C197</f>
        <v>#REF!</v>
      </c>
      <c r="D198" s="31"/>
      <c r="E198" s="34"/>
      <c r="F198" s="32" t="s">
        <v>1121</v>
      </c>
      <c r="G198" s="33">
        <f>+G194-G195-G196-G197</f>
        <v>0</v>
      </c>
      <c r="H198" s="33" t="e">
        <f>+H194-H195-H196-H197</f>
        <v>#REF!</v>
      </c>
      <c r="I198" s="31"/>
      <c r="J198" s="34"/>
    </row>
    <row r="199" spans="1:10" x14ac:dyDescent="0.3">
      <c r="A199" s="40" t="s">
        <v>1122</v>
      </c>
      <c r="B199" s="37">
        <f>+B198*0.3</f>
        <v>0</v>
      </c>
      <c r="C199" s="37" t="e">
        <f>+C198*0.25</f>
        <v>#REF!</v>
      </c>
      <c r="D199" s="37"/>
      <c r="E199" s="34"/>
      <c r="F199" s="40" t="s">
        <v>1122</v>
      </c>
      <c r="G199" s="37">
        <f>+G198*0.3</f>
        <v>0</v>
      </c>
      <c r="H199" s="37" t="e">
        <f>+H198*0.25</f>
        <v>#REF!</v>
      </c>
      <c r="I199" s="37"/>
      <c r="J199" s="34"/>
    </row>
    <row r="200" spans="1:10" x14ac:dyDescent="0.3">
      <c r="A200" s="40"/>
      <c r="B200" s="37">
        <f>+B198-B199</f>
        <v>0</v>
      </c>
      <c r="C200" s="37" t="e">
        <f>+C198-C199</f>
        <v>#REF!</v>
      </c>
      <c r="D200" s="37" t="e">
        <f>SUM(B200:C200)</f>
        <v>#REF!</v>
      </c>
      <c r="E200" s="34"/>
      <c r="F200" s="40"/>
      <c r="G200" s="37">
        <f>+G198-G199</f>
        <v>0</v>
      </c>
      <c r="H200" s="37" t="e">
        <f>+H198-H199</f>
        <v>#REF!</v>
      </c>
      <c r="I200" s="37" t="e">
        <f>SUM(G200:H200)</f>
        <v>#REF!</v>
      </c>
      <c r="J200" s="34"/>
    </row>
    <row r="201" spans="1:10" x14ac:dyDescent="0.3">
      <c r="A201" s="32" t="s">
        <v>1123</v>
      </c>
      <c r="B201" s="33"/>
      <c r="C201" s="33"/>
      <c r="D201" s="33" t="e">
        <f>+D200/1</f>
        <v>#REF!</v>
      </c>
      <c r="E201" s="34"/>
      <c r="F201" s="32" t="s">
        <v>1123</v>
      </c>
      <c r="G201" s="33"/>
      <c r="H201" s="33"/>
      <c r="I201" s="33" t="e">
        <f>+I200/1</f>
        <v>#REF!</v>
      </c>
      <c r="J201" s="34"/>
    </row>
    <row r="202" spans="1:10" x14ac:dyDescent="0.3">
      <c r="A202" s="35" t="s">
        <v>1126</v>
      </c>
      <c r="B202" s="37"/>
      <c r="C202" s="37"/>
      <c r="D202" s="37">
        <f>(5149400)/12</f>
        <v>429116.66666666669</v>
      </c>
      <c r="E202" s="90" t="s">
        <v>1125</v>
      </c>
      <c r="F202" s="35" t="s">
        <v>1126</v>
      </c>
      <c r="G202" s="37"/>
      <c r="H202" s="37"/>
      <c r="I202" s="37"/>
      <c r="J202" s="90" t="s">
        <v>1125</v>
      </c>
    </row>
    <row r="203" spans="1:10" x14ac:dyDescent="0.3">
      <c r="A203" s="35" t="s">
        <v>1127</v>
      </c>
      <c r="B203" s="37"/>
      <c r="C203" s="37"/>
      <c r="D203" s="37" t="e">
        <f>+#REF!</f>
        <v>#REF!</v>
      </c>
      <c r="E203" s="90"/>
      <c r="F203" s="35" t="s">
        <v>1127</v>
      </c>
      <c r="G203" s="37"/>
      <c r="H203" s="37"/>
      <c r="I203" s="37" t="e">
        <f>#REF!</f>
        <v>#REF!</v>
      </c>
      <c r="J203" s="90"/>
    </row>
    <row r="204" spans="1:10" x14ac:dyDescent="0.3">
      <c r="A204" s="32" t="s">
        <v>1128</v>
      </c>
      <c r="B204" s="33"/>
      <c r="C204" s="33"/>
      <c r="D204" s="33" t="e">
        <f>+D201-D202-D203</f>
        <v>#REF!</v>
      </c>
      <c r="E204" s="34"/>
      <c r="F204" s="32" t="s">
        <v>1128</v>
      </c>
      <c r="G204" s="33"/>
      <c r="H204" s="33"/>
      <c r="I204" s="33" t="e">
        <f>+I201-I202-I203</f>
        <v>#REF!</v>
      </c>
      <c r="J204" s="34"/>
    </row>
    <row r="205" spans="1:10" x14ac:dyDescent="0.3">
      <c r="A205" s="32" t="s">
        <v>1129</v>
      </c>
      <c r="B205" s="41"/>
      <c r="C205" s="41"/>
      <c r="D205" s="41"/>
      <c r="E205" s="34"/>
      <c r="F205" s="32" t="s">
        <v>1129</v>
      </c>
      <c r="G205" s="41"/>
      <c r="H205" s="41"/>
      <c r="I205" s="41"/>
      <c r="J205" s="34"/>
    </row>
    <row r="206" spans="1:10" x14ac:dyDescent="0.3">
      <c r="A206" s="76"/>
      <c r="B206" s="77"/>
      <c r="C206" s="77"/>
      <c r="D206" s="77"/>
      <c r="E206" s="78"/>
      <c r="F206" s="76"/>
      <c r="G206" s="77"/>
      <c r="H206" s="77"/>
      <c r="I206" s="77"/>
      <c r="J206" s="78"/>
    </row>
    <row r="207" spans="1:10" x14ac:dyDescent="0.3">
      <c r="A207" s="148" t="s">
        <v>1128</v>
      </c>
      <c r="B207" s="149">
        <f>D205</f>
        <v>0</v>
      </c>
      <c r="C207" s="150"/>
      <c r="D207" s="151" t="s">
        <v>1130</v>
      </c>
      <c r="E207" s="152">
        <v>24555</v>
      </c>
      <c r="F207" s="148" t="s">
        <v>1128</v>
      </c>
      <c r="G207" s="149">
        <f>I205</f>
        <v>0</v>
      </c>
      <c r="H207" s="150"/>
      <c r="I207" s="151" t="s">
        <v>1130</v>
      </c>
      <c r="J207" s="152">
        <v>24555</v>
      </c>
    </row>
    <row r="208" spans="1:10" ht="14" thickBot="1" x14ac:dyDescent="0.35">
      <c r="A208" s="141" t="s">
        <v>1168</v>
      </c>
      <c r="B208" s="46" t="e">
        <f>(+E209-95)*19%</f>
        <v>#REF!</v>
      </c>
      <c r="C208" s="46" t="e">
        <f>+B208</f>
        <v>#REF!</v>
      </c>
      <c r="D208" s="46"/>
      <c r="E208" s="143" t="e">
        <f>+D204</f>
        <v>#REF!</v>
      </c>
      <c r="F208" s="141" t="s">
        <v>1169</v>
      </c>
      <c r="G208" s="46" t="e">
        <f>(+J209-150)*28%+10</f>
        <v>#REF!</v>
      </c>
      <c r="H208" s="46" t="e">
        <f>+G208</f>
        <v>#REF!</v>
      </c>
      <c r="I208" s="46"/>
      <c r="J208" s="143" t="e">
        <f>+I204</f>
        <v>#REF!</v>
      </c>
    </row>
    <row r="209" spans="1:10" ht="15.5" thickBot="1" x14ac:dyDescent="0.35">
      <c r="A209" s="144" t="s">
        <v>1164</v>
      </c>
      <c r="B209" s="42">
        <v>24555</v>
      </c>
      <c r="C209" s="61" t="e">
        <f>IF(C208&gt;0,ROUND(B209*C208,-2),0)</f>
        <v>#REF!</v>
      </c>
      <c r="D209" s="51" t="e">
        <f>+C209</f>
        <v>#REF!</v>
      </c>
      <c r="E209" s="145" t="e">
        <f>ROUND(E208/E207,0)</f>
        <v>#REF!</v>
      </c>
      <c r="F209" s="144" t="s">
        <v>1164</v>
      </c>
      <c r="G209" s="42">
        <v>24555</v>
      </c>
      <c r="H209" s="61" t="e">
        <f>IF(H208&gt;0,ROUND(G209*H208,-2),0)</f>
        <v>#REF!</v>
      </c>
      <c r="I209" s="51" t="e">
        <f>+H209</f>
        <v>#REF!</v>
      </c>
      <c r="J209" s="145" t="e">
        <f>ROUND(J208/J207,0)</f>
        <v>#REF!</v>
      </c>
    </row>
    <row r="210" spans="1:10" x14ac:dyDescent="0.3">
      <c r="A210" s="146"/>
      <c r="B210" s="136" t="s">
        <v>1166</v>
      </c>
      <c r="C210" s="137">
        <v>0</v>
      </c>
      <c r="D210" s="135"/>
      <c r="E210" s="147"/>
      <c r="F210" s="146"/>
      <c r="G210" s="136" t="s">
        <v>1166</v>
      </c>
      <c r="H210" s="137">
        <v>0</v>
      </c>
      <c r="I210" s="135"/>
      <c r="J210" s="147"/>
    </row>
    <row r="212" spans="1:10" ht="14" thickBot="1" x14ac:dyDescent="0.35"/>
    <row r="213" spans="1:10" x14ac:dyDescent="0.3">
      <c r="A213" s="64" t="e">
        <f>+#REF!</f>
        <v>#REF!</v>
      </c>
      <c r="B213" s="28"/>
      <c r="C213" s="29"/>
      <c r="D213" s="29"/>
      <c r="E213" s="30"/>
      <c r="F213" s="64" t="e">
        <f>+#REF!</f>
        <v>#REF!</v>
      </c>
      <c r="G213" s="28"/>
      <c r="H213" s="29"/>
      <c r="I213" s="29"/>
      <c r="J213" s="30"/>
    </row>
    <row r="214" spans="1:10" x14ac:dyDescent="0.3">
      <c r="A214" s="32" t="s">
        <v>1113</v>
      </c>
      <c r="B214" s="33"/>
      <c r="C214" s="31"/>
      <c r="D214" s="31"/>
      <c r="E214" s="34"/>
      <c r="F214" s="32" t="s">
        <v>1113</v>
      </c>
      <c r="G214" s="33"/>
      <c r="H214" s="31"/>
      <c r="I214" s="31"/>
      <c r="J214" s="34"/>
    </row>
    <row r="215" spans="1:10" x14ac:dyDescent="0.3">
      <c r="A215" s="35"/>
      <c r="B215" s="36"/>
      <c r="C215" s="36"/>
      <c r="D215" s="31"/>
      <c r="E215" s="34"/>
      <c r="F215" s="35"/>
      <c r="G215" s="36"/>
      <c r="H215" s="36"/>
      <c r="I215" s="31"/>
      <c r="J215" s="34"/>
    </row>
    <row r="216" spans="1:10" x14ac:dyDescent="0.3">
      <c r="A216" s="35" t="s">
        <v>1115</v>
      </c>
      <c r="B216" s="37"/>
      <c r="C216" s="38" t="e">
        <f>+#REF!</f>
        <v>#REF!</v>
      </c>
      <c r="D216" s="31"/>
      <c r="E216" s="34"/>
      <c r="F216" s="35" t="s">
        <v>1115</v>
      </c>
      <c r="G216" s="37"/>
      <c r="H216" s="38" t="e">
        <f>+#REF!</f>
        <v>#REF!</v>
      </c>
      <c r="I216" s="31"/>
      <c r="J216" s="34"/>
    </row>
    <row r="217" spans="1:10" x14ac:dyDescent="0.3">
      <c r="A217" s="35" t="s">
        <v>1116</v>
      </c>
      <c r="B217" s="37"/>
      <c r="C217" s="38">
        <v>0</v>
      </c>
      <c r="D217" s="31"/>
      <c r="E217" s="34"/>
      <c r="F217" s="35" t="s">
        <v>1116</v>
      </c>
      <c r="G217" s="37"/>
      <c r="H217" s="38">
        <v>0</v>
      </c>
      <c r="I217" s="31"/>
      <c r="J217" s="34"/>
    </row>
    <row r="218" spans="1:10" x14ac:dyDescent="0.3">
      <c r="A218" s="32" t="s">
        <v>1117</v>
      </c>
      <c r="B218" s="33">
        <f>SUM(B216:B217)</f>
        <v>0</v>
      </c>
      <c r="C218" s="33" t="e">
        <f>SUM(C216:C217)</f>
        <v>#REF!</v>
      </c>
      <c r="D218" s="31"/>
      <c r="E218" s="34"/>
      <c r="F218" s="32" t="s">
        <v>1117</v>
      </c>
      <c r="G218" s="33">
        <f>SUM(G216:G217)</f>
        <v>0</v>
      </c>
      <c r="H218" s="33" t="e">
        <f>SUM(H216:H217)</f>
        <v>#REF!</v>
      </c>
      <c r="I218" s="31"/>
      <c r="J218" s="34"/>
    </row>
    <row r="219" spans="1:10" x14ac:dyDescent="0.3">
      <c r="A219" s="35" t="s">
        <v>1118</v>
      </c>
      <c r="B219" s="37"/>
      <c r="C219" s="38" t="e">
        <f>+#REF!</f>
        <v>#REF!</v>
      </c>
      <c r="D219" s="31"/>
      <c r="E219" s="34"/>
      <c r="F219" s="35" t="s">
        <v>1118</v>
      </c>
      <c r="G219" s="37"/>
      <c r="H219" s="38" t="e">
        <f>+#REF!</f>
        <v>#REF!</v>
      </c>
      <c r="I219" s="31"/>
      <c r="J219" s="34"/>
    </row>
    <row r="220" spans="1:10" x14ac:dyDescent="0.3">
      <c r="A220" s="35" t="s">
        <v>1119</v>
      </c>
      <c r="B220" s="37"/>
      <c r="C220" s="38" t="e">
        <f>+#REF!</f>
        <v>#REF!</v>
      </c>
      <c r="D220" s="31"/>
      <c r="E220" s="34"/>
      <c r="F220" s="35" t="s">
        <v>1119</v>
      </c>
      <c r="G220" s="37"/>
      <c r="H220" s="38" t="e">
        <f>+#REF!</f>
        <v>#REF!</v>
      </c>
      <c r="I220" s="31"/>
      <c r="J220" s="34"/>
    </row>
    <row r="221" spans="1:10" x14ac:dyDescent="0.3">
      <c r="A221" s="35" t="s">
        <v>1120</v>
      </c>
      <c r="B221" s="37"/>
      <c r="C221" s="38">
        <v>0</v>
      </c>
      <c r="D221" s="31"/>
      <c r="E221" s="34"/>
      <c r="F221" s="35" t="s">
        <v>1120</v>
      </c>
      <c r="G221" s="37"/>
      <c r="H221" s="38">
        <v>0</v>
      </c>
      <c r="I221" s="31"/>
      <c r="J221" s="34"/>
    </row>
    <row r="222" spans="1:10" x14ac:dyDescent="0.3">
      <c r="A222" s="32" t="s">
        <v>1121</v>
      </c>
      <c r="B222" s="33">
        <f>+B218-B219-B220-B221</f>
        <v>0</v>
      </c>
      <c r="C222" s="33" t="e">
        <f>+C218-C219-C220-C221</f>
        <v>#REF!</v>
      </c>
      <c r="D222" s="31"/>
      <c r="E222" s="34"/>
      <c r="F222" s="32" t="s">
        <v>1121</v>
      </c>
      <c r="G222" s="33">
        <f>+G218-G219-G220-G221</f>
        <v>0</v>
      </c>
      <c r="H222" s="33" t="e">
        <f>+H218-H219-H220-H221</f>
        <v>#REF!</v>
      </c>
      <c r="I222" s="31"/>
      <c r="J222" s="34"/>
    </row>
    <row r="223" spans="1:10" x14ac:dyDescent="0.3">
      <c r="A223" s="40" t="s">
        <v>1122</v>
      </c>
      <c r="B223" s="37">
        <f>+B222*0.3</f>
        <v>0</v>
      </c>
      <c r="C223" s="37" t="e">
        <f>+C222*0.25</f>
        <v>#REF!</v>
      </c>
      <c r="D223" s="37"/>
      <c r="E223" s="34"/>
      <c r="F223" s="40" t="s">
        <v>1122</v>
      </c>
      <c r="G223" s="37">
        <f>+G222*0.3</f>
        <v>0</v>
      </c>
      <c r="H223" s="37" t="e">
        <f>+H222*0.25</f>
        <v>#REF!</v>
      </c>
      <c r="I223" s="37"/>
      <c r="J223" s="34"/>
    </row>
    <row r="224" spans="1:10" x14ac:dyDescent="0.3">
      <c r="A224" s="40"/>
      <c r="B224" s="37">
        <f>+B222-B223</f>
        <v>0</v>
      </c>
      <c r="C224" s="37" t="e">
        <f>+C222-C223</f>
        <v>#REF!</v>
      </c>
      <c r="D224" s="37" t="e">
        <f>SUM(B224:C224)</f>
        <v>#REF!</v>
      </c>
      <c r="E224" s="34"/>
      <c r="F224" s="40"/>
      <c r="G224" s="37">
        <f>+G222-G223</f>
        <v>0</v>
      </c>
      <c r="H224" s="37" t="e">
        <f>+H222-H223</f>
        <v>#REF!</v>
      </c>
      <c r="I224" s="37" t="e">
        <f>SUM(G224:H224)</f>
        <v>#REF!</v>
      </c>
      <c r="J224" s="34"/>
    </row>
    <row r="225" spans="1:10" x14ac:dyDescent="0.3">
      <c r="A225" s="32" t="s">
        <v>1123</v>
      </c>
      <c r="B225" s="33"/>
      <c r="C225" s="33"/>
      <c r="D225" s="33" t="e">
        <f>+D224/1</f>
        <v>#REF!</v>
      </c>
      <c r="E225" s="34"/>
      <c r="F225" s="32" t="s">
        <v>1123</v>
      </c>
      <c r="G225" s="33"/>
      <c r="H225" s="33"/>
      <c r="I225" s="33" t="e">
        <f>+I224/1</f>
        <v>#REF!</v>
      </c>
      <c r="J225" s="34"/>
    </row>
    <row r="226" spans="1:10" x14ac:dyDescent="0.3">
      <c r="A226" s="35" t="s">
        <v>1126</v>
      </c>
      <c r="B226" s="37"/>
      <c r="C226" s="37"/>
      <c r="D226" s="37"/>
      <c r="E226" s="90" t="s">
        <v>1125</v>
      </c>
      <c r="F226" s="35" t="s">
        <v>1126</v>
      </c>
      <c r="G226" s="37"/>
      <c r="H226" s="37"/>
      <c r="I226" s="37">
        <f>3834000/12</f>
        <v>319500</v>
      </c>
      <c r="J226" s="90" t="s">
        <v>1125</v>
      </c>
    </row>
    <row r="227" spans="1:10" x14ac:dyDescent="0.3">
      <c r="A227" s="35" t="s">
        <v>1127</v>
      </c>
      <c r="B227" s="37"/>
      <c r="C227" s="37"/>
      <c r="D227" s="37" t="e">
        <f>+#REF!</f>
        <v>#REF!</v>
      </c>
      <c r="E227" s="90"/>
      <c r="F227" s="35" t="s">
        <v>1127</v>
      </c>
      <c r="G227" s="37"/>
      <c r="H227" s="37"/>
      <c r="I227" s="37" t="e">
        <f>+#REF!</f>
        <v>#REF!</v>
      </c>
      <c r="J227" s="90"/>
    </row>
    <row r="228" spans="1:10" x14ac:dyDescent="0.3">
      <c r="A228" s="32" t="s">
        <v>1128</v>
      </c>
      <c r="B228" s="33"/>
      <c r="C228" s="33"/>
      <c r="D228" s="33" t="e">
        <f>+D225-D226-D227</f>
        <v>#REF!</v>
      </c>
      <c r="E228" s="34"/>
      <c r="F228" s="32" t="s">
        <v>1128</v>
      </c>
      <c r="G228" s="33"/>
      <c r="H228" s="33"/>
      <c r="I228" s="33" t="e">
        <f>+I225-I226-I227</f>
        <v>#REF!</v>
      </c>
      <c r="J228" s="34"/>
    </row>
    <row r="229" spans="1:10" x14ac:dyDescent="0.3">
      <c r="A229" s="32" t="s">
        <v>1129</v>
      </c>
      <c r="B229" s="41"/>
      <c r="C229" s="41"/>
      <c r="D229" s="41"/>
      <c r="E229" s="34"/>
      <c r="F229" s="32" t="s">
        <v>1129</v>
      </c>
      <c r="G229" s="41"/>
      <c r="H229" s="41"/>
      <c r="I229" s="41"/>
      <c r="J229" s="34"/>
    </row>
    <row r="230" spans="1:10" x14ac:dyDescent="0.3">
      <c r="A230" s="76"/>
      <c r="B230" s="77"/>
      <c r="C230" s="77"/>
      <c r="D230" s="77"/>
      <c r="E230" s="78"/>
      <c r="F230" s="76"/>
      <c r="G230" s="77"/>
      <c r="H230" s="77"/>
      <c r="I230" s="77"/>
      <c r="J230" s="78"/>
    </row>
    <row r="231" spans="1:10" x14ac:dyDescent="0.3">
      <c r="A231" s="148" t="s">
        <v>1128</v>
      </c>
      <c r="B231" s="149">
        <f>D229</f>
        <v>0</v>
      </c>
      <c r="C231" s="150"/>
      <c r="D231" s="151" t="s">
        <v>1130</v>
      </c>
      <c r="E231" s="152">
        <v>24555</v>
      </c>
      <c r="F231" s="148" t="s">
        <v>1128</v>
      </c>
      <c r="G231" s="149">
        <f>I229</f>
        <v>0</v>
      </c>
      <c r="H231" s="150"/>
      <c r="I231" s="151" t="s">
        <v>1130</v>
      </c>
      <c r="J231" s="152">
        <v>24555</v>
      </c>
    </row>
    <row r="232" spans="1:10" ht="14" thickBot="1" x14ac:dyDescent="0.35">
      <c r="A232" s="141" t="s">
        <v>1139</v>
      </c>
      <c r="B232" s="46" t="e">
        <f>(+E233-150)*28%+10</f>
        <v>#REF!</v>
      </c>
      <c r="C232" s="46" t="e">
        <f>+B232</f>
        <v>#REF!</v>
      </c>
      <c r="D232" s="46"/>
      <c r="E232" s="143" t="e">
        <f>+D228</f>
        <v>#REF!</v>
      </c>
      <c r="F232" s="141">
        <v>-80</v>
      </c>
      <c r="G232" s="46"/>
      <c r="H232" s="46">
        <f>+G232</f>
        <v>0</v>
      </c>
      <c r="I232" s="46"/>
      <c r="J232" s="143" t="e">
        <f>+I228</f>
        <v>#REF!</v>
      </c>
    </row>
    <row r="233" spans="1:10" ht="15.5" thickBot="1" x14ac:dyDescent="0.35">
      <c r="A233" s="144" t="s">
        <v>1164</v>
      </c>
      <c r="B233" s="42">
        <v>24555</v>
      </c>
      <c r="C233" s="61" t="e">
        <f>IF(C232&gt;0,ROUND(B233*C232,-2),0)</f>
        <v>#REF!</v>
      </c>
      <c r="D233" s="51" t="e">
        <f>+C233</f>
        <v>#REF!</v>
      </c>
      <c r="E233" s="145" t="e">
        <f>ROUND(E232/E231,0)</f>
        <v>#REF!</v>
      </c>
      <c r="F233" s="144" t="s">
        <v>1164</v>
      </c>
      <c r="G233" s="42">
        <v>24555</v>
      </c>
      <c r="H233" s="61">
        <v>0</v>
      </c>
      <c r="I233" s="51">
        <f>+H233</f>
        <v>0</v>
      </c>
      <c r="J233" s="145" t="e">
        <f>ROUND(J232/J231,0)</f>
        <v>#REF!</v>
      </c>
    </row>
    <row r="234" spans="1:10" x14ac:dyDescent="0.3">
      <c r="A234" s="146"/>
      <c r="B234" s="136" t="s">
        <v>1166</v>
      </c>
      <c r="C234" s="137">
        <v>0</v>
      </c>
      <c r="D234" s="135"/>
      <c r="E234" s="147"/>
      <c r="F234" s="146"/>
      <c r="G234" s="136" t="s">
        <v>1166</v>
      </c>
      <c r="H234" s="137">
        <v>0</v>
      </c>
      <c r="I234" s="135"/>
      <c r="J234" s="147"/>
    </row>
    <row r="236" spans="1:10" ht="14" thickBot="1" x14ac:dyDescent="0.35"/>
    <row r="237" spans="1:10" x14ac:dyDescent="0.3">
      <c r="A237" s="64" t="e">
        <f>+#REF!</f>
        <v>#REF!</v>
      </c>
      <c r="B237" s="28"/>
      <c r="C237" s="29"/>
      <c r="D237" s="29"/>
      <c r="E237" s="30"/>
      <c r="F237" s="64" t="e">
        <f>+#REF!</f>
        <v>#REF!</v>
      </c>
      <c r="G237" s="28"/>
      <c r="H237" s="29"/>
      <c r="I237" s="29"/>
      <c r="J237" s="30"/>
    </row>
    <row r="238" spans="1:10" x14ac:dyDescent="0.3">
      <c r="A238" s="32" t="s">
        <v>1113</v>
      </c>
      <c r="B238" s="33"/>
      <c r="C238" s="31"/>
      <c r="D238" s="31"/>
      <c r="E238" s="34"/>
      <c r="F238" s="32" t="s">
        <v>1113</v>
      </c>
      <c r="G238" s="33"/>
      <c r="H238" s="31"/>
      <c r="I238" s="31"/>
      <c r="J238" s="34"/>
    </row>
    <row r="239" spans="1:10" x14ac:dyDescent="0.3">
      <c r="A239" s="35"/>
      <c r="B239" s="36"/>
      <c r="C239" s="36"/>
      <c r="D239" s="31"/>
      <c r="E239" s="34"/>
      <c r="F239" s="35"/>
      <c r="G239" s="36"/>
      <c r="H239" s="36"/>
      <c r="I239" s="31"/>
      <c r="J239" s="34"/>
    </row>
    <row r="240" spans="1:10" x14ac:dyDescent="0.3">
      <c r="A240" s="35" t="s">
        <v>1115</v>
      </c>
      <c r="B240" s="37"/>
      <c r="C240" s="38" t="e">
        <f>+#REF!</f>
        <v>#REF!</v>
      </c>
      <c r="D240" s="31"/>
      <c r="E240" s="155" t="e">
        <f>+C240/23</f>
        <v>#REF!</v>
      </c>
      <c r="F240" s="35" t="s">
        <v>1115</v>
      </c>
      <c r="G240" s="37"/>
      <c r="H240" s="38" t="e">
        <f>+#REF!</f>
        <v>#REF!</v>
      </c>
      <c r="I240" s="31"/>
      <c r="J240" s="34"/>
    </row>
    <row r="241" spans="1:10" x14ac:dyDescent="0.3">
      <c r="A241" s="35" t="s">
        <v>1116</v>
      </c>
      <c r="B241" s="37"/>
      <c r="C241" s="38">
        <v>0</v>
      </c>
      <c r="D241" s="31"/>
      <c r="E241" s="34"/>
      <c r="F241" s="35" t="s">
        <v>1116</v>
      </c>
      <c r="G241" s="37"/>
      <c r="H241" s="38">
        <v>0</v>
      </c>
      <c r="I241" s="31"/>
      <c r="J241" s="34"/>
    </row>
    <row r="242" spans="1:10" x14ac:dyDescent="0.3">
      <c r="A242" s="32" t="s">
        <v>1117</v>
      </c>
      <c r="B242" s="33">
        <f>SUM(B240:B241)</f>
        <v>0</v>
      </c>
      <c r="C242" s="33" t="e">
        <f>SUM(C240:C241)</f>
        <v>#REF!</v>
      </c>
      <c r="D242" s="31"/>
      <c r="E242" s="34"/>
      <c r="F242" s="32" t="s">
        <v>1117</v>
      </c>
      <c r="G242" s="33">
        <f>SUM(G240:G241)</f>
        <v>0</v>
      </c>
      <c r="H242" s="33" t="e">
        <f>SUM(H240:H241)</f>
        <v>#REF!</v>
      </c>
      <c r="I242" s="31"/>
      <c r="J242" s="34"/>
    </row>
    <row r="243" spans="1:10" x14ac:dyDescent="0.3">
      <c r="A243" s="35" t="s">
        <v>1118</v>
      </c>
      <c r="B243" s="37"/>
      <c r="C243" s="38" t="e">
        <f>+#REF!</f>
        <v>#REF!</v>
      </c>
      <c r="D243" s="31"/>
      <c r="E243" s="34"/>
      <c r="F243" s="35" t="s">
        <v>1118</v>
      </c>
      <c r="G243" s="37"/>
      <c r="H243" s="38" t="e">
        <f>+#REF!</f>
        <v>#REF!</v>
      </c>
      <c r="I243" s="31"/>
      <c r="J243" s="34"/>
    </row>
    <row r="244" spans="1:10" x14ac:dyDescent="0.3">
      <c r="A244" s="35" t="s">
        <v>1119</v>
      </c>
      <c r="B244" s="37"/>
      <c r="C244" s="38" t="e">
        <f>+#REF!</f>
        <v>#REF!</v>
      </c>
      <c r="D244" s="31"/>
      <c r="E244" s="34"/>
      <c r="F244" s="35" t="s">
        <v>1119</v>
      </c>
      <c r="G244" s="37"/>
      <c r="H244" s="38" t="e">
        <f>+#REF!</f>
        <v>#REF!</v>
      </c>
      <c r="I244" s="31"/>
      <c r="J244" s="34"/>
    </row>
    <row r="245" spans="1:10" x14ac:dyDescent="0.3">
      <c r="A245" s="35" t="s">
        <v>1120</v>
      </c>
      <c r="B245" s="37"/>
      <c r="C245" s="38">
        <v>0</v>
      </c>
      <c r="D245" s="31"/>
      <c r="E245" s="34"/>
      <c r="F245" s="35" t="s">
        <v>1120</v>
      </c>
      <c r="G245" s="37"/>
      <c r="H245" s="38">
        <v>0</v>
      </c>
      <c r="I245" s="31"/>
      <c r="J245" s="34"/>
    </row>
    <row r="246" spans="1:10" x14ac:dyDescent="0.3">
      <c r="A246" s="32" t="s">
        <v>1121</v>
      </c>
      <c r="B246" s="33">
        <f>+B242-B243-B244-B245</f>
        <v>0</v>
      </c>
      <c r="C246" s="33" t="e">
        <f>+C242-C243-C244-C245</f>
        <v>#REF!</v>
      </c>
      <c r="D246" s="31"/>
      <c r="E246" s="34"/>
      <c r="F246" s="32" t="s">
        <v>1121</v>
      </c>
      <c r="G246" s="33">
        <f>+G242-G243-G244-G245</f>
        <v>0</v>
      </c>
      <c r="H246" s="33" t="e">
        <f>+H242-H243-H244-H245</f>
        <v>#REF!</v>
      </c>
      <c r="I246" s="31"/>
      <c r="J246" s="34"/>
    </row>
    <row r="247" spans="1:10" x14ac:dyDescent="0.3">
      <c r="A247" s="40" t="s">
        <v>1122</v>
      </c>
      <c r="B247" s="37">
        <f>+B246*0.3</f>
        <v>0</v>
      </c>
      <c r="C247" s="37" t="e">
        <f>+C246*0.25</f>
        <v>#REF!</v>
      </c>
      <c r="D247" s="37"/>
      <c r="E247" s="34"/>
      <c r="F247" s="40" t="s">
        <v>1122</v>
      </c>
      <c r="G247" s="37">
        <f>+G246*0.3</f>
        <v>0</v>
      </c>
      <c r="H247" s="37" t="e">
        <f>+H246*0.25</f>
        <v>#REF!</v>
      </c>
      <c r="I247" s="37"/>
      <c r="J247" s="34"/>
    </row>
    <row r="248" spans="1:10" x14ac:dyDescent="0.3">
      <c r="A248" s="40"/>
      <c r="B248" s="37">
        <f>+B246-B247</f>
        <v>0</v>
      </c>
      <c r="C248" s="37" t="e">
        <f>+C246-C247</f>
        <v>#REF!</v>
      </c>
      <c r="D248" s="37" t="e">
        <f>SUM(B248:C248)</f>
        <v>#REF!</v>
      </c>
      <c r="E248" s="34"/>
      <c r="F248" s="40"/>
      <c r="G248" s="37">
        <f>+G246-G247</f>
        <v>0</v>
      </c>
      <c r="H248" s="37" t="e">
        <f>+H246-H247</f>
        <v>#REF!</v>
      </c>
      <c r="I248" s="37" t="e">
        <f>SUM(G248:H248)</f>
        <v>#REF!</v>
      </c>
      <c r="J248" s="34"/>
    </row>
    <row r="249" spans="1:10" x14ac:dyDescent="0.3">
      <c r="A249" s="32" t="s">
        <v>1123</v>
      </c>
      <c r="B249" s="33"/>
      <c r="C249" s="33"/>
      <c r="D249" s="33" t="e">
        <f>+D248/1</f>
        <v>#REF!</v>
      </c>
      <c r="E249" s="34"/>
      <c r="F249" s="32" t="s">
        <v>1123</v>
      </c>
      <c r="G249" s="33"/>
      <c r="H249" s="33"/>
      <c r="I249" s="33" t="e">
        <f>+I248/1</f>
        <v>#REF!</v>
      </c>
      <c r="J249" s="34"/>
    </row>
    <row r="250" spans="1:10" x14ac:dyDescent="0.3">
      <c r="A250" s="35" t="s">
        <v>1126</v>
      </c>
      <c r="B250" s="37"/>
      <c r="C250" s="37"/>
      <c r="D250" s="37">
        <f>(623425+330825)/12</f>
        <v>79520.833333333328</v>
      </c>
      <c r="E250" s="90" t="s">
        <v>1125</v>
      </c>
      <c r="F250" s="35" t="s">
        <v>1126</v>
      </c>
      <c r="G250" s="37"/>
      <c r="H250" s="37"/>
      <c r="I250" s="37">
        <f>9830915.14/12</f>
        <v>819242.92833333334</v>
      </c>
      <c r="J250" s="90" t="s">
        <v>1125</v>
      </c>
    </row>
    <row r="251" spans="1:10" x14ac:dyDescent="0.3">
      <c r="A251" s="35" t="s">
        <v>1127</v>
      </c>
      <c r="B251" s="37"/>
      <c r="C251" s="37"/>
      <c r="D251" s="37" t="e">
        <f>+#REF!</f>
        <v>#REF!</v>
      </c>
      <c r="E251" s="90"/>
      <c r="F251" s="35" t="s">
        <v>1127</v>
      </c>
      <c r="G251" s="37"/>
      <c r="H251" s="37"/>
      <c r="I251" s="37" t="e">
        <f>+#REF!</f>
        <v>#REF!</v>
      </c>
      <c r="J251" s="90"/>
    </row>
    <row r="252" spans="1:10" x14ac:dyDescent="0.3">
      <c r="A252" s="32" t="s">
        <v>1128</v>
      </c>
      <c r="B252" s="33"/>
      <c r="C252" s="33"/>
      <c r="D252" s="33" t="e">
        <f>+D249-D250-D251</f>
        <v>#REF!</v>
      </c>
      <c r="E252" s="34"/>
      <c r="F252" s="32" t="s">
        <v>1128</v>
      </c>
      <c r="G252" s="33"/>
      <c r="H252" s="33"/>
      <c r="I252" s="33" t="e">
        <f>+I249-I250-I251</f>
        <v>#REF!</v>
      </c>
      <c r="J252" s="34"/>
    </row>
    <row r="253" spans="1:10" x14ac:dyDescent="0.3">
      <c r="A253" s="32" t="s">
        <v>1129</v>
      </c>
      <c r="B253" s="41"/>
      <c r="C253" s="41"/>
      <c r="D253" s="41"/>
      <c r="E253" s="34"/>
      <c r="F253" s="32" t="s">
        <v>1129</v>
      </c>
      <c r="G253" s="41"/>
      <c r="H253" s="41"/>
      <c r="I253" s="41"/>
      <c r="J253" s="34"/>
    </row>
    <row r="254" spans="1:10" x14ac:dyDescent="0.3">
      <c r="A254" s="76"/>
      <c r="B254" s="77"/>
      <c r="C254" s="77"/>
      <c r="D254" s="77"/>
      <c r="E254" s="78"/>
      <c r="F254" s="76"/>
      <c r="G254" s="77"/>
      <c r="H254" s="77"/>
      <c r="I254" s="77"/>
      <c r="J254" s="78"/>
    </row>
    <row r="255" spans="1:10" x14ac:dyDescent="0.3">
      <c r="A255" s="148" t="s">
        <v>1128</v>
      </c>
      <c r="B255" s="149">
        <f>D253</f>
        <v>0</v>
      </c>
      <c r="C255" s="150"/>
      <c r="D255" s="151" t="s">
        <v>1130</v>
      </c>
      <c r="E255" s="152">
        <v>24555</v>
      </c>
      <c r="F255" s="148" t="s">
        <v>1128</v>
      </c>
      <c r="G255" s="149">
        <f>I253</f>
        <v>0</v>
      </c>
      <c r="H255" s="150"/>
      <c r="I255" s="151" t="s">
        <v>1130</v>
      </c>
      <c r="J255" s="152">
        <v>24555</v>
      </c>
    </row>
    <row r="256" spans="1:10" ht="14" thickBot="1" x14ac:dyDescent="0.35">
      <c r="A256" s="141" t="s">
        <v>1170</v>
      </c>
      <c r="B256" s="46" t="e">
        <f>(+E257-95)*19%</f>
        <v>#REF!</v>
      </c>
      <c r="C256" s="46" t="e">
        <f>+B256</f>
        <v>#REF!</v>
      </c>
      <c r="D256" s="46"/>
      <c r="E256" s="143" t="e">
        <f>+D252</f>
        <v>#REF!</v>
      </c>
      <c r="F256" s="141">
        <v>0</v>
      </c>
      <c r="G256" s="46"/>
      <c r="H256" s="46">
        <f>+G256</f>
        <v>0</v>
      </c>
      <c r="I256" s="46"/>
      <c r="J256" s="143" t="e">
        <f>+I252</f>
        <v>#REF!</v>
      </c>
    </row>
    <row r="257" spans="1:10" ht="15.5" thickBot="1" x14ac:dyDescent="0.35">
      <c r="A257" s="144" t="s">
        <v>1164</v>
      </c>
      <c r="B257" s="42">
        <v>24555</v>
      </c>
      <c r="C257" s="61" t="e">
        <f>IF(C256&gt;0,ROUND(B257*C256,-2),0)</f>
        <v>#REF!</v>
      </c>
      <c r="D257" s="51" t="e">
        <f>+C257</f>
        <v>#REF!</v>
      </c>
      <c r="E257" s="145" t="e">
        <f>ROUND(E256/E255,0)</f>
        <v>#REF!</v>
      </c>
      <c r="F257" s="144" t="s">
        <v>1164</v>
      </c>
      <c r="G257" s="42">
        <v>24555</v>
      </c>
      <c r="H257" s="61">
        <v>0</v>
      </c>
      <c r="I257" s="51">
        <f>+H257</f>
        <v>0</v>
      </c>
      <c r="J257" s="145" t="e">
        <f>ROUND(J256/J255,0)</f>
        <v>#REF!</v>
      </c>
    </row>
    <row r="258" spans="1:10" x14ac:dyDescent="0.3">
      <c r="A258" s="146"/>
      <c r="B258" s="136" t="s">
        <v>1166</v>
      </c>
      <c r="C258" s="137">
        <v>0</v>
      </c>
      <c r="D258" s="135"/>
      <c r="E258" s="147"/>
      <c r="F258" s="146"/>
      <c r="G258" s="136" t="s">
        <v>1166</v>
      </c>
      <c r="H258" s="137">
        <v>0</v>
      </c>
      <c r="I258" s="135"/>
      <c r="J258" s="147"/>
    </row>
  </sheetData>
  <mergeCells count="3">
    <mergeCell ref="A1:J1"/>
    <mergeCell ref="A2:J2"/>
    <mergeCell ref="A3:J3"/>
  </mergeCells>
  <phoneticPr fontId="6" type="noConversion"/>
  <printOptions horizontalCentered="1"/>
  <pageMargins left="0.74803149606299213" right="0.19685039370078741" top="0.39370078740157483" bottom="0.98425196850393704" header="0.27559055118110237" footer="0.51181102362204722"/>
  <pageSetup paperSize="119" scale="70" firstPageNumber="0" orientation="landscape"/>
  <headerFooter alignWithMargins="0">
    <oddHeader xml:space="preserve">&amp;R
Pagina Nº&amp;P 
</oddHeader>
  </headerFooter>
  <rowBreaks count="3" manualBreakCount="3">
    <brk id="51" max="16383" man="1"/>
    <brk id="98" max="16383" man="1"/>
    <brk id="142" max="9" man="1"/>
  </rowBreaks>
  <colBreaks count="1" manualBreakCount="1">
    <brk id="10" max="189" man="1"/>
  </colBreaks>
  <drawing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9</vt:i4>
      </vt:variant>
      <vt:variant>
        <vt:lpstr>Rangos con nombre</vt:lpstr>
      </vt:variant>
      <vt:variant>
        <vt:i4>8</vt:i4>
      </vt:variant>
    </vt:vector>
  </HeadingPairs>
  <TitlesOfParts>
    <vt:vector size="17" baseType="lpstr">
      <vt:lpstr>DIRECTORIO DE CONTRATISTAS</vt:lpstr>
      <vt:lpstr>INCAPACIDADES</vt:lpstr>
      <vt:lpstr>BS</vt:lpstr>
      <vt:lpstr>Vac2012</vt:lpstr>
      <vt:lpstr>Hoja1</vt:lpstr>
      <vt:lpstr>Ahorro AFC</vt:lpstr>
      <vt:lpstr>Pen Vol</vt:lpstr>
      <vt:lpstr>Retefuente</vt:lpstr>
      <vt:lpstr>RETENCION EN LA FUENTE</vt:lpstr>
      <vt:lpstr>'Ahorro AFC'!Área_de_impresión</vt:lpstr>
      <vt:lpstr>BS!Área_de_impresión</vt:lpstr>
      <vt:lpstr>INCAPACIDADES!Área_de_impresión</vt:lpstr>
      <vt:lpstr>'RETENCION EN LA FUENTE'!Área_de_impresión</vt:lpstr>
      <vt:lpstr>'Vac2012'!Área_de_impresión</vt:lpstr>
      <vt:lpstr>rangos</vt:lpstr>
      <vt:lpstr>'RETENCION EN LA FUENTE'!Títulos_a_imprimir</vt:lpstr>
      <vt:lpstr>UVT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Alexis carranza Moreno</dc:creator>
  <cp:keywords/>
  <dc:description/>
  <cp:lastModifiedBy>Julieth Rodriguez Rodriguez</cp:lastModifiedBy>
  <cp:revision>33</cp:revision>
  <dcterms:created xsi:type="dcterms:W3CDTF">2007-03-27T14:39:19Z</dcterms:created>
  <dcterms:modified xsi:type="dcterms:W3CDTF">2026-10-21T22:43:18Z</dcterms:modified>
  <cp:category/>
  <cp:contentStatus/>
</cp:coreProperties>
</file>